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rosinija.Tukane\Desktop\Majas lapa\"/>
    </mc:Choice>
  </mc:AlternateContent>
  <bookViews>
    <workbookView xWindow="-120" yWindow="-120" windowWidth="29040" windowHeight="15840"/>
  </bookViews>
  <sheets>
    <sheet name="2020.g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1" l="1"/>
  <c r="L96" i="1"/>
  <c r="L34" i="1"/>
  <c r="L32" i="1"/>
  <c r="L44" i="1" l="1"/>
  <c r="N87" i="1" l="1"/>
  <c r="L16" i="1" l="1"/>
  <c r="N16" i="1" s="1"/>
  <c r="L94" i="1"/>
  <c r="N96" i="1" l="1"/>
  <c r="L90" i="1" l="1"/>
  <c r="R68" i="1" l="1"/>
  <c r="R67" i="1"/>
  <c r="R63" i="1"/>
  <c r="P69" i="1"/>
  <c r="P68" i="1"/>
  <c r="P63" i="1"/>
  <c r="P62" i="1"/>
  <c r="R59" i="1"/>
  <c r="R54" i="1"/>
  <c r="R55" i="1"/>
  <c r="R56" i="1"/>
  <c r="R57" i="1"/>
  <c r="R33" i="1"/>
  <c r="R21" i="1"/>
  <c r="R23" i="1"/>
  <c r="R12" i="1"/>
  <c r="R13" i="1"/>
  <c r="R5" i="1"/>
  <c r="O23" i="1"/>
  <c r="L59" i="1"/>
  <c r="L11" i="1" l="1"/>
  <c r="L12" i="1"/>
  <c r="N13" i="1" l="1"/>
  <c r="N12" i="1"/>
  <c r="N11" i="1"/>
  <c r="M11" i="1"/>
  <c r="L7" i="1" l="1"/>
  <c r="K7" i="1"/>
  <c r="D30" i="1"/>
  <c r="D91" i="1"/>
  <c r="C30" i="1"/>
  <c r="C93" i="1"/>
  <c r="C18" i="1" l="1"/>
  <c r="L93" i="1" l="1"/>
  <c r="N93" i="1" s="1"/>
  <c r="L51" i="1"/>
  <c r="L48" i="1" l="1"/>
  <c r="L80" i="1"/>
  <c r="L77" i="1"/>
  <c r="K51" i="1"/>
  <c r="L99" i="1"/>
  <c r="L91" i="1"/>
  <c r="L88" i="1"/>
  <c r="L85" i="1"/>
  <c r="L84" i="1"/>
  <c r="L83" i="1"/>
  <c r="L82" i="1"/>
  <c r="L79" i="1"/>
  <c r="L73" i="1"/>
  <c r="L72" i="1"/>
  <c r="L67" i="1"/>
  <c r="N67" i="1" s="1"/>
  <c r="L66" i="1"/>
  <c r="L64" i="1"/>
  <c r="L60" i="1"/>
  <c r="L57" i="1"/>
  <c r="L56" i="1"/>
  <c r="L55" i="1"/>
  <c r="L54" i="1"/>
  <c r="L52" i="1"/>
  <c r="L50" i="1"/>
  <c r="L49" i="1"/>
  <c r="L47" i="1"/>
  <c r="L46" i="1"/>
  <c r="L43" i="1"/>
  <c r="L42" i="1"/>
  <c r="L41" i="1"/>
  <c r="L39" i="1"/>
  <c r="L38" i="1"/>
  <c r="L36" i="1"/>
  <c r="K25" i="1"/>
  <c r="L27" i="1"/>
  <c r="L25" i="1" s="1"/>
  <c r="L17" i="1"/>
  <c r="L21" i="1"/>
  <c r="L24" i="1"/>
  <c r="L23" i="1"/>
  <c r="L22" i="1"/>
  <c r="L20" i="1"/>
  <c r="L19" i="1"/>
  <c r="N62" i="1"/>
  <c r="N63" i="1"/>
  <c r="N65" i="1"/>
  <c r="N69" i="1"/>
  <c r="N70" i="1"/>
  <c r="N75" i="1"/>
  <c r="N78" i="1"/>
  <c r="N86" i="1"/>
  <c r="N89" i="1"/>
  <c r="N92" i="1"/>
  <c r="N94" i="1"/>
  <c r="N95" i="1"/>
  <c r="N97" i="1"/>
  <c r="N98" i="1"/>
  <c r="N45" i="1"/>
  <c r="N50" i="1"/>
  <c r="N33" i="1"/>
  <c r="N35" i="1"/>
  <c r="N28" i="1"/>
  <c r="N29" i="1"/>
  <c r="L18" i="1" l="1"/>
  <c r="L76" i="1"/>
  <c r="L15" i="1"/>
  <c r="L14" i="1" s="1"/>
  <c r="M35" i="1" l="1"/>
  <c r="M36" i="1"/>
  <c r="M38" i="1"/>
  <c r="M41" i="1"/>
  <c r="M43" i="1"/>
  <c r="M45" i="1"/>
  <c r="M47" i="1"/>
  <c r="M50" i="1"/>
  <c r="M51" i="1"/>
  <c r="M55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72" i="1"/>
  <c r="M73" i="1"/>
  <c r="M74" i="1"/>
  <c r="M75" i="1"/>
  <c r="M77" i="1"/>
  <c r="M78" i="1"/>
  <c r="M79" i="1"/>
  <c r="M82" i="1"/>
  <c r="M83" i="1"/>
  <c r="M84" i="1"/>
  <c r="M85" i="1"/>
  <c r="M86" i="1"/>
  <c r="M87" i="1"/>
  <c r="M88" i="1"/>
  <c r="M89" i="1"/>
  <c r="M90" i="1"/>
  <c r="M92" i="1"/>
  <c r="M94" i="1"/>
  <c r="M95" i="1"/>
  <c r="M96" i="1"/>
  <c r="M97" i="1"/>
  <c r="M98" i="1"/>
  <c r="M99" i="1"/>
  <c r="M27" i="1"/>
  <c r="M17" i="1"/>
  <c r="M20" i="1"/>
  <c r="M22" i="1"/>
  <c r="M23" i="1"/>
  <c r="M24" i="1"/>
  <c r="M16" i="1"/>
  <c r="K32" i="1"/>
  <c r="M32" i="1" s="1"/>
  <c r="L81" i="1"/>
  <c r="L71" i="1"/>
  <c r="L61" i="1"/>
  <c r="L53" i="1"/>
  <c r="L37" i="1"/>
  <c r="L31" i="1"/>
  <c r="K93" i="1"/>
  <c r="K91" i="1"/>
  <c r="K81" i="1"/>
  <c r="K76" i="1"/>
  <c r="K71" i="1"/>
  <c r="K61" i="1"/>
  <c r="K56" i="1"/>
  <c r="K54" i="1" s="1"/>
  <c r="K53" i="1" s="1"/>
  <c r="K48" i="1"/>
  <c r="K40" i="1"/>
  <c r="K39" i="1"/>
  <c r="M39" i="1" s="1"/>
  <c r="K34" i="1"/>
  <c r="M34" i="1" s="1"/>
  <c r="K33" i="1"/>
  <c r="M33" i="1" s="1"/>
  <c r="K19" i="1"/>
  <c r="K18" i="1" s="1"/>
  <c r="K16" i="1"/>
  <c r="M61" i="1" l="1"/>
  <c r="L30" i="1"/>
  <c r="L100" i="1" s="1"/>
  <c r="K37" i="1"/>
  <c r="M19" i="1"/>
  <c r="K15" i="1"/>
  <c r="K14" i="1" s="1"/>
  <c r="K31" i="1"/>
  <c r="M56" i="1"/>
  <c r="K30" i="1" l="1"/>
  <c r="K100" i="1" s="1"/>
  <c r="J85" i="1" l="1"/>
  <c r="J84" i="1"/>
  <c r="J90" i="1"/>
  <c r="D81" i="1" l="1"/>
  <c r="I7" i="1" l="1"/>
  <c r="J11" i="1"/>
  <c r="J12" i="1"/>
  <c r="J13" i="1" l="1"/>
  <c r="J59" i="1" l="1"/>
  <c r="J60" i="1"/>
  <c r="J72" i="1" l="1"/>
  <c r="J80" i="1"/>
  <c r="J79" i="1"/>
  <c r="J68" i="1"/>
  <c r="J32" i="1"/>
  <c r="J7" i="1" s="1"/>
  <c r="J40" i="1" l="1"/>
  <c r="J99" i="1"/>
  <c r="J83" i="1" l="1"/>
  <c r="J51" i="1"/>
  <c r="J74" i="1"/>
  <c r="J73" i="1"/>
  <c r="J66" i="1"/>
  <c r="J64" i="1"/>
  <c r="J57" i="1"/>
  <c r="J56" i="1"/>
  <c r="J55" i="1"/>
  <c r="J52" i="1"/>
  <c r="J49" i="1"/>
  <c r="J48" i="1"/>
  <c r="J47" i="1"/>
  <c r="J46" i="1"/>
  <c r="J44" i="1"/>
  <c r="J43" i="1"/>
  <c r="J42" i="1"/>
  <c r="J41" i="1"/>
  <c r="J39" i="1"/>
  <c r="J38" i="1"/>
  <c r="J36" i="1"/>
  <c r="J34" i="1"/>
  <c r="J27" i="1"/>
  <c r="J16" i="1"/>
  <c r="J17" i="1"/>
  <c r="J22" i="1"/>
  <c r="J19" i="1"/>
  <c r="J20" i="1"/>
  <c r="J24" i="1"/>
  <c r="J23" i="1"/>
  <c r="J21" i="1"/>
  <c r="M7" i="1" l="1"/>
  <c r="M28" i="1"/>
  <c r="M29" i="1"/>
  <c r="M12" i="1"/>
  <c r="M13" i="1"/>
  <c r="I93" i="1" l="1"/>
  <c r="J93" i="1"/>
  <c r="I91" i="1"/>
  <c r="J91" i="1"/>
  <c r="I81" i="1"/>
  <c r="J81" i="1"/>
  <c r="I76" i="1"/>
  <c r="J76" i="1"/>
  <c r="I71" i="1"/>
  <c r="J71" i="1"/>
  <c r="I61" i="1"/>
  <c r="J61" i="1"/>
  <c r="I54" i="1"/>
  <c r="I53" i="1" s="1"/>
  <c r="J54" i="1"/>
  <c r="J53" i="1" s="1"/>
  <c r="I31" i="1"/>
  <c r="I37" i="1"/>
  <c r="J37" i="1"/>
  <c r="J31" i="1"/>
  <c r="I25" i="1"/>
  <c r="J25" i="1"/>
  <c r="I18" i="1"/>
  <c r="J18" i="1"/>
  <c r="I15" i="1"/>
  <c r="J30" i="1" l="1"/>
  <c r="I14" i="1"/>
  <c r="J15" i="1"/>
  <c r="J14" i="1" s="1"/>
  <c r="I30" i="1"/>
  <c r="I100" i="1" l="1"/>
  <c r="J100" i="1"/>
  <c r="D54" i="1" l="1"/>
  <c r="G7" i="1" l="1"/>
  <c r="H51" i="1" l="1"/>
  <c r="N51" i="1" s="1"/>
  <c r="O51" i="1" s="1"/>
  <c r="H39" i="1"/>
  <c r="H90" i="1"/>
  <c r="H88" i="1"/>
  <c r="H85" i="1"/>
  <c r="N85" i="1" s="1"/>
  <c r="H58" i="1"/>
  <c r="N58" i="1" s="1"/>
  <c r="R58" i="1" s="1"/>
  <c r="H55" i="1" l="1"/>
  <c r="N55" i="1" s="1"/>
  <c r="H47" i="1"/>
  <c r="N47" i="1" s="1"/>
  <c r="H41" i="1"/>
  <c r="N41" i="1" s="1"/>
  <c r="H36" i="1"/>
  <c r="H34" i="1"/>
  <c r="H32" i="1"/>
  <c r="H7" i="1" s="1"/>
  <c r="H27" i="1" l="1"/>
  <c r="N27" i="1" s="1"/>
  <c r="N25" i="1" s="1"/>
  <c r="H24" i="1"/>
  <c r="H31" i="1" l="1"/>
  <c r="H83" i="1"/>
  <c r="H99" i="1"/>
  <c r="N99" i="1" s="1"/>
  <c r="H96" i="1"/>
  <c r="H84" i="1"/>
  <c r="N84" i="1" s="1"/>
  <c r="H82" i="1"/>
  <c r="N82" i="1" s="1"/>
  <c r="H77" i="1"/>
  <c r="N77" i="1" s="1"/>
  <c r="H79" i="1"/>
  <c r="N79" i="1" s="1"/>
  <c r="H74" i="1"/>
  <c r="N74" i="1" s="1"/>
  <c r="H73" i="1"/>
  <c r="N73" i="1" s="1"/>
  <c r="H72" i="1"/>
  <c r="N72" i="1" s="1"/>
  <c r="H68" i="1"/>
  <c r="N68" i="1" s="1"/>
  <c r="H66" i="1"/>
  <c r="N66" i="1" s="1"/>
  <c r="H64" i="1"/>
  <c r="N64" i="1" s="1"/>
  <c r="N61" i="1" s="1"/>
  <c r="H60" i="1"/>
  <c r="N60" i="1" s="1"/>
  <c r="H59" i="1"/>
  <c r="N59" i="1" s="1"/>
  <c r="H57" i="1"/>
  <c r="H56" i="1"/>
  <c r="N56" i="1" s="1"/>
  <c r="H52" i="1"/>
  <c r="N52" i="1" s="1"/>
  <c r="H49" i="1"/>
  <c r="N49" i="1" s="1"/>
  <c r="H48" i="1"/>
  <c r="N48" i="1" s="1"/>
  <c r="H46" i="1"/>
  <c r="N46" i="1" s="1"/>
  <c r="H44" i="1"/>
  <c r="N44" i="1" s="1"/>
  <c r="H43" i="1"/>
  <c r="N43" i="1" s="1"/>
  <c r="H42" i="1"/>
  <c r="N42" i="1" s="1"/>
  <c r="H40" i="1"/>
  <c r="H38" i="1"/>
  <c r="N38" i="1" s="1"/>
  <c r="H21" i="1"/>
  <c r="N21" i="1" s="1"/>
  <c r="H19" i="1"/>
  <c r="H23" i="1"/>
  <c r="H16" i="1"/>
  <c r="H17" i="1"/>
  <c r="N17" i="1" s="1"/>
  <c r="H22" i="1"/>
  <c r="N22" i="1" s="1"/>
  <c r="H20" i="1"/>
  <c r="N20" i="1" s="1"/>
  <c r="N71" i="1" l="1"/>
  <c r="C61" i="1"/>
  <c r="R17" i="1"/>
  <c r="R16" i="1"/>
  <c r="R75" i="1"/>
  <c r="M25" i="1"/>
  <c r="H25" i="1"/>
  <c r="G31" i="1"/>
  <c r="G91" i="1"/>
  <c r="H91" i="1"/>
  <c r="G54" i="1"/>
  <c r="G53" i="1" s="1"/>
  <c r="H54" i="1"/>
  <c r="H53" i="1" s="1"/>
  <c r="G25" i="1"/>
  <c r="G18" i="1"/>
  <c r="H18" i="1"/>
  <c r="H15" i="1" s="1"/>
  <c r="G93" i="1"/>
  <c r="H93" i="1"/>
  <c r="G81" i="1"/>
  <c r="H81" i="1"/>
  <c r="G76" i="1"/>
  <c r="H76" i="1"/>
  <c r="G71" i="1"/>
  <c r="H71" i="1"/>
  <c r="G61" i="1"/>
  <c r="H61" i="1"/>
  <c r="G37" i="1"/>
  <c r="H37" i="1"/>
  <c r="G15" i="1"/>
  <c r="G14" i="1" l="1"/>
  <c r="H14" i="1"/>
  <c r="H30" i="1"/>
  <c r="G30" i="1"/>
  <c r="G100" i="1" l="1"/>
  <c r="H100" i="1"/>
  <c r="N6" i="1" l="1"/>
  <c r="R6" i="1" s="1"/>
  <c r="N5" i="1"/>
  <c r="M5" i="1"/>
  <c r="F91" i="1"/>
  <c r="N91" i="1" s="1"/>
  <c r="R96" i="1"/>
  <c r="R99" i="1"/>
  <c r="R92" i="1"/>
  <c r="P84" i="1"/>
  <c r="R85" i="1"/>
  <c r="R86" i="1"/>
  <c r="R78" i="1"/>
  <c r="R79" i="1"/>
  <c r="R73" i="1"/>
  <c r="P74" i="1"/>
  <c r="R72" i="1"/>
  <c r="R64" i="1"/>
  <c r="R65" i="1"/>
  <c r="P66" i="1"/>
  <c r="P67" i="1"/>
  <c r="R69" i="1"/>
  <c r="R62" i="1"/>
  <c r="P55" i="1"/>
  <c r="P59" i="1"/>
  <c r="R60" i="1"/>
  <c r="R41" i="1"/>
  <c r="R42" i="1"/>
  <c r="R44" i="1"/>
  <c r="P45" i="1"/>
  <c r="R46" i="1"/>
  <c r="R48" i="1"/>
  <c r="R50" i="1"/>
  <c r="R52" i="1"/>
  <c r="R38" i="1"/>
  <c r="R28" i="1"/>
  <c r="F40" i="1"/>
  <c r="N40" i="1" s="1"/>
  <c r="F83" i="1"/>
  <c r="N83" i="1" s="1"/>
  <c r="F39" i="1"/>
  <c r="N39" i="1" s="1"/>
  <c r="F88" i="1"/>
  <c r="N88" i="1" s="1"/>
  <c r="F90" i="1"/>
  <c r="F80" i="1"/>
  <c r="N80" i="1" s="1"/>
  <c r="N76" i="1" s="1"/>
  <c r="F57" i="1"/>
  <c r="N57" i="1" s="1"/>
  <c r="F32" i="1"/>
  <c r="N90" i="1" l="1"/>
  <c r="R90" i="1" s="1"/>
  <c r="N32" i="1"/>
  <c r="N7" i="1" s="1"/>
  <c r="R7" i="1" s="1"/>
  <c r="R76" i="1" s="1"/>
  <c r="P6" i="1"/>
  <c r="P98" i="1"/>
  <c r="P51" i="1"/>
  <c r="P47" i="1"/>
  <c r="P43" i="1"/>
  <c r="P82" i="1"/>
  <c r="R80" i="1"/>
  <c r="R88" i="1"/>
  <c r="P88" i="1"/>
  <c r="R83" i="1"/>
  <c r="P83" i="1"/>
  <c r="P27" i="1"/>
  <c r="R27" i="1"/>
  <c r="P57" i="1"/>
  <c r="P90" i="1"/>
  <c r="R39" i="1"/>
  <c r="P39" i="1"/>
  <c r="P99" i="1"/>
  <c r="P92" i="1"/>
  <c r="P85" i="1"/>
  <c r="P79" i="1"/>
  <c r="P73" i="1"/>
  <c r="P64" i="1"/>
  <c r="P60" i="1"/>
  <c r="P58" i="1"/>
  <c r="P56" i="1"/>
  <c r="P50" i="1"/>
  <c r="P38" i="1"/>
  <c r="R84" i="1"/>
  <c r="R82" i="1"/>
  <c r="R74" i="1"/>
  <c r="R51" i="1"/>
  <c r="R49" i="1"/>
  <c r="R47" i="1"/>
  <c r="R45" i="1"/>
  <c r="N37" i="1"/>
  <c r="P77" i="1"/>
  <c r="P72" i="1"/>
  <c r="P65" i="1"/>
  <c r="P41" i="1"/>
  <c r="R77" i="1"/>
  <c r="P5" i="1"/>
  <c r="F36" i="1"/>
  <c r="N36" i="1" s="1"/>
  <c r="F34" i="1"/>
  <c r="N34" i="1" s="1"/>
  <c r="F24" i="1"/>
  <c r="N24" i="1" s="1"/>
  <c r="P32" i="1" l="1"/>
  <c r="P7" i="1"/>
  <c r="P34" i="1"/>
  <c r="P36" i="1"/>
  <c r="N31" i="1"/>
  <c r="F19" i="1"/>
  <c r="N19" i="1" s="1"/>
  <c r="Q6" i="1" l="1"/>
  <c r="Q7" i="1"/>
  <c r="Q8" i="1"/>
  <c r="Q9" i="1"/>
  <c r="Q10" i="1"/>
  <c r="Q26" i="1"/>
  <c r="Q27" i="1"/>
  <c r="Q28" i="1"/>
  <c r="Q29" i="1"/>
  <c r="Q33" i="1"/>
  <c r="Q35" i="1"/>
  <c r="Q38" i="1"/>
  <c r="Q39" i="1"/>
  <c r="Q41" i="1"/>
  <c r="Q42" i="1"/>
  <c r="Q43" i="1"/>
  <c r="Q44" i="1"/>
  <c r="Q45" i="1"/>
  <c r="Q46" i="1"/>
  <c r="Q47" i="1"/>
  <c r="Q48" i="1"/>
  <c r="Q49" i="1"/>
  <c r="Q50" i="1"/>
  <c r="Q51" i="1"/>
  <c r="Q52" i="1"/>
  <c r="Q55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2" i="1"/>
  <c r="Q73" i="1"/>
  <c r="Q74" i="1"/>
  <c r="Q75" i="1"/>
  <c r="Q77" i="1"/>
  <c r="Q78" i="1"/>
  <c r="Q79" i="1"/>
  <c r="Q80" i="1"/>
  <c r="Q82" i="1"/>
  <c r="Q83" i="1"/>
  <c r="Q84" i="1"/>
  <c r="Q85" i="1"/>
  <c r="Q86" i="1"/>
  <c r="Q87" i="1"/>
  <c r="Q88" i="1"/>
  <c r="Q89" i="1"/>
  <c r="Q90" i="1"/>
  <c r="Q92" i="1"/>
  <c r="Q94" i="1"/>
  <c r="Q95" i="1"/>
  <c r="Q96" i="1"/>
  <c r="Q97" i="1"/>
  <c r="Q98" i="1"/>
  <c r="Q99" i="1"/>
  <c r="Q5" i="1"/>
  <c r="O6" i="1"/>
  <c r="O7" i="1"/>
  <c r="O8" i="1"/>
  <c r="O9" i="1"/>
  <c r="O10" i="1"/>
  <c r="O26" i="1"/>
  <c r="O27" i="1"/>
  <c r="O28" i="1"/>
  <c r="O29" i="1"/>
  <c r="O35" i="1"/>
  <c r="O36" i="1"/>
  <c r="O38" i="1"/>
  <c r="O39" i="1"/>
  <c r="O41" i="1"/>
  <c r="O43" i="1"/>
  <c r="O45" i="1"/>
  <c r="O47" i="1"/>
  <c r="O50" i="1"/>
  <c r="O55" i="1"/>
  <c r="O56" i="1"/>
  <c r="O57" i="1"/>
  <c r="O58" i="1"/>
  <c r="O59" i="1"/>
  <c r="O60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7" i="1"/>
  <c r="O78" i="1"/>
  <c r="O79" i="1"/>
  <c r="O82" i="1"/>
  <c r="O83" i="1"/>
  <c r="O84" i="1"/>
  <c r="O85" i="1"/>
  <c r="O86" i="1"/>
  <c r="O87" i="1"/>
  <c r="O88" i="1"/>
  <c r="O89" i="1"/>
  <c r="O90" i="1"/>
  <c r="O92" i="1"/>
  <c r="O94" i="1"/>
  <c r="O95" i="1"/>
  <c r="O96" i="1"/>
  <c r="O97" i="1"/>
  <c r="O98" i="1"/>
  <c r="O99" i="1"/>
  <c r="O5" i="1"/>
  <c r="F23" i="1" l="1"/>
  <c r="N23" i="1" s="1"/>
  <c r="E93" i="1"/>
  <c r="M93" i="1" s="1"/>
  <c r="E91" i="1"/>
  <c r="M91" i="1" s="1"/>
  <c r="E81" i="1"/>
  <c r="M81" i="1" s="1"/>
  <c r="E80" i="1"/>
  <c r="M80" i="1" s="1"/>
  <c r="E71" i="1"/>
  <c r="M71" i="1" s="1"/>
  <c r="E61" i="1"/>
  <c r="E54" i="1"/>
  <c r="M54" i="1" s="1"/>
  <c r="E52" i="1"/>
  <c r="M52" i="1" s="1"/>
  <c r="E49" i="1"/>
  <c r="M49" i="1" s="1"/>
  <c r="E48" i="1"/>
  <c r="M48" i="1" s="1"/>
  <c r="E46" i="1"/>
  <c r="M46" i="1" s="1"/>
  <c r="E44" i="1"/>
  <c r="M44" i="1" s="1"/>
  <c r="E42" i="1"/>
  <c r="M42" i="1" s="1"/>
  <c r="E40" i="1"/>
  <c r="M40" i="1" s="1"/>
  <c r="E31" i="1"/>
  <c r="E25" i="1"/>
  <c r="E21" i="1"/>
  <c r="M21" i="1" s="1"/>
  <c r="D93" i="1"/>
  <c r="D76" i="1"/>
  <c r="Q76" i="1" s="1"/>
  <c r="D71" i="1"/>
  <c r="P91" i="1" l="1"/>
  <c r="O91" i="1"/>
  <c r="E18" i="1"/>
  <c r="M18" i="1" s="1"/>
  <c r="P23" i="1"/>
  <c r="P40" i="1"/>
  <c r="O40" i="1"/>
  <c r="P44" i="1"/>
  <c r="O44" i="1"/>
  <c r="P48" i="1"/>
  <c r="O48" i="1"/>
  <c r="P52" i="1"/>
  <c r="O52" i="1"/>
  <c r="E76" i="1"/>
  <c r="M76" i="1" s="1"/>
  <c r="P17" i="1"/>
  <c r="O17" i="1"/>
  <c r="Q17" i="1"/>
  <c r="P16" i="1"/>
  <c r="Q16" i="1"/>
  <c r="O16" i="1"/>
  <c r="Q71" i="1"/>
  <c r="R91" i="1"/>
  <c r="Q91" i="1"/>
  <c r="P42" i="1"/>
  <c r="O42" i="1"/>
  <c r="P46" i="1"/>
  <c r="O46" i="1"/>
  <c r="P49" i="1"/>
  <c r="O49" i="1"/>
  <c r="E53" i="1"/>
  <c r="M53" i="1" s="1"/>
  <c r="P24" i="1"/>
  <c r="R24" i="1"/>
  <c r="P22" i="1"/>
  <c r="R22" i="1"/>
  <c r="P21" i="1"/>
  <c r="Q21" i="1"/>
  <c r="O21" i="1"/>
  <c r="P20" i="1"/>
  <c r="R20" i="1"/>
  <c r="P19" i="1"/>
  <c r="Q24" i="1"/>
  <c r="O24" i="1"/>
  <c r="O22" i="1"/>
  <c r="Q22" i="1"/>
  <c r="Q20" i="1"/>
  <c r="O20" i="1"/>
  <c r="O19" i="1"/>
  <c r="E37" i="1"/>
  <c r="M37" i="1" s="1"/>
  <c r="E15" i="1" l="1"/>
  <c r="E14" i="1" s="1"/>
  <c r="M15" i="1"/>
  <c r="P80" i="1"/>
  <c r="O80" i="1"/>
  <c r="E30" i="1"/>
  <c r="E100" i="1" s="1"/>
  <c r="M100" i="1" s="1"/>
  <c r="D61" i="1" l="1"/>
  <c r="D53" i="1"/>
  <c r="D25" i="1"/>
  <c r="Q23" i="1" l="1"/>
  <c r="R32" i="1"/>
  <c r="Q32" i="1"/>
  <c r="R36" i="1"/>
  <c r="Q36" i="1"/>
  <c r="D18" i="1"/>
  <c r="D15" i="1" s="1"/>
  <c r="D14" i="1" s="1"/>
  <c r="Q19" i="1"/>
  <c r="R19" i="1"/>
  <c r="R34" i="1"/>
  <c r="Q34" i="1"/>
  <c r="D37" i="1"/>
  <c r="R40" i="1"/>
  <c r="Q40" i="1"/>
  <c r="R61" i="1"/>
  <c r="Q61" i="1"/>
  <c r="D31" i="1"/>
  <c r="C91" i="1"/>
  <c r="C81" i="1"/>
  <c r="C76" i="1"/>
  <c r="C71" i="1"/>
  <c r="C54" i="1"/>
  <c r="C37" i="1"/>
  <c r="C25" i="1"/>
  <c r="F18" i="1"/>
  <c r="N18" i="1" s="1"/>
  <c r="F25" i="1"/>
  <c r="F31" i="1"/>
  <c r="F37" i="1"/>
  <c r="F54" i="1"/>
  <c r="N54" i="1" s="1"/>
  <c r="N53" i="1" s="1"/>
  <c r="F61" i="1"/>
  <c r="F71" i="1"/>
  <c r="F76" i="1"/>
  <c r="F81" i="1"/>
  <c r="N81" i="1" s="1"/>
  <c r="F93" i="1"/>
  <c r="N30" i="1" l="1"/>
  <c r="Q81" i="1"/>
  <c r="R81" i="1"/>
  <c r="Q93" i="1"/>
  <c r="R93" i="1"/>
  <c r="N15" i="1"/>
  <c r="R15" i="1" s="1"/>
  <c r="F53" i="1"/>
  <c r="D100" i="1"/>
  <c r="R31" i="1"/>
  <c r="Q31" i="1"/>
  <c r="R37" i="1"/>
  <c r="Q37" i="1"/>
  <c r="R25" i="1"/>
  <c r="P25" i="1"/>
  <c r="Q25" i="1"/>
  <c r="O25" i="1"/>
  <c r="F15" i="1"/>
  <c r="F14" i="1" s="1"/>
  <c r="C31" i="1"/>
  <c r="C53" i="1"/>
  <c r="F30" i="1"/>
  <c r="C15" i="1"/>
  <c r="C14" i="1" s="1"/>
  <c r="C100" i="1" l="1"/>
  <c r="N14" i="1"/>
  <c r="R14" i="1" s="1"/>
  <c r="P15" i="1"/>
  <c r="P54" i="1"/>
  <c r="Q54" i="1"/>
  <c r="O54" i="1"/>
  <c r="P18" i="1"/>
  <c r="R18" i="1"/>
  <c r="F100" i="1"/>
  <c r="N100" i="1" s="1"/>
  <c r="Q15" i="1"/>
  <c r="O15" i="1"/>
  <c r="Q18" i="1"/>
  <c r="O18" i="1"/>
  <c r="R53" i="1" l="1"/>
  <c r="Q53" i="1"/>
  <c r="P13" i="1"/>
  <c r="Q13" i="1"/>
  <c r="O13" i="1"/>
  <c r="P12" i="1"/>
  <c r="O12" i="1"/>
  <c r="Q12" i="1"/>
  <c r="R11" i="1"/>
  <c r="P11" i="1"/>
  <c r="Q11" i="1"/>
  <c r="O11" i="1"/>
  <c r="Q14" i="1"/>
  <c r="R30" i="1" l="1"/>
  <c r="Q30" i="1"/>
  <c r="R100" i="1" l="1"/>
  <c r="Q100" i="1"/>
  <c r="O61" i="1" l="1"/>
  <c r="P61" i="1"/>
  <c r="O76" i="1" l="1"/>
  <c r="P76" i="1"/>
  <c r="O93" i="1"/>
  <c r="M14" i="1" l="1"/>
  <c r="P14" i="1" l="1"/>
  <c r="O14" i="1"/>
  <c r="O53" i="1" l="1"/>
  <c r="P53" i="1"/>
  <c r="O71" i="1"/>
  <c r="P71" i="1"/>
  <c r="O37" i="1"/>
  <c r="P37" i="1"/>
  <c r="O33" i="1" l="1"/>
  <c r="O32" i="1"/>
  <c r="O81" i="1" l="1"/>
  <c r="P81" i="1"/>
  <c r="M31" i="1"/>
  <c r="P31" i="1" s="1"/>
  <c r="O34" i="1"/>
  <c r="M30" i="1" l="1"/>
  <c r="P30" i="1" s="1"/>
  <c r="O31" i="1"/>
  <c r="O30" i="1" l="1"/>
  <c r="O100" i="1" l="1"/>
</calcChain>
</file>

<file path=xl/sharedStrings.xml><?xml version="1.0" encoding="utf-8"?>
<sst xmlns="http://schemas.openxmlformats.org/spreadsheetml/2006/main" count="132" uniqueCount="122">
  <si>
    <t>Izpildītājs                 tālr.</t>
  </si>
  <si>
    <t>Darba devēja valsts sociālās apdrošināšanas obligātās iemaksas</t>
  </si>
  <si>
    <t>Darba devēja izdevumi veselības, dzīvības un nelaimes gadījumu apdrošināšanai</t>
  </si>
  <si>
    <t>Aizņēmumu atmaksa</t>
  </si>
  <si>
    <t>Iekārtas, inventāra un aparatūras remonts, tehniskā apkalpošana</t>
  </si>
  <si>
    <t>Transportlīdzekļu uzturēšana un remonts</t>
  </si>
  <si>
    <t>Transportlīdzekļu noma</t>
  </si>
  <si>
    <t>Komandējumi un dienesta braucieni</t>
  </si>
  <si>
    <t>plāns</t>
  </si>
  <si>
    <t>tūkst.EUR</t>
  </si>
  <si>
    <t>N.p.k.</t>
  </si>
  <si>
    <t>1.</t>
  </si>
  <si>
    <t>2.</t>
  </si>
  <si>
    <t>3.</t>
  </si>
  <si>
    <t>Plāna rādītāji</t>
  </si>
  <si>
    <t>4.</t>
  </si>
  <si>
    <t>REZULTĀTS:  P/Z pēc nodokļu nomaksas</t>
  </si>
  <si>
    <t>Gada pārskata un revīzijas izdevumi</t>
  </si>
  <si>
    <t>Samaksātās soda naudas un līgumsodi</t>
  </si>
  <si>
    <t>Pamatlīdzekļu un citu ieguldījumu vērtības nolietojums</t>
  </si>
  <si>
    <t>Pielikums Nr.1</t>
  </si>
  <si>
    <t>Pakalpojumi</t>
  </si>
  <si>
    <t>Izdevumi par ūdeni un kanalizāciju</t>
  </si>
  <si>
    <t>Izdevumi par elektronerģiju</t>
  </si>
  <si>
    <t>Izdevumi tiesvedības darbiem</t>
  </si>
  <si>
    <t>Kursi, seminari</t>
  </si>
  <si>
    <t>Apdrošināšanas izdevumi</t>
  </si>
  <si>
    <t>Zemes noma</t>
  </si>
  <si>
    <t>Iekārtu un inventāra noma</t>
  </si>
  <si>
    <t>PVN</t>
  </si>
  <si>
    <t>NĪN</t>
  </si>
  <si>
    <t>IIN</t>
  </si>
  <si>
    <t>DRN</t>
  </si>
  <si>
    <t>UIN</t>
  </si>
  <si>
    <t>fakts</t>
  </si>
  <si>
    <t>Administratīvie izdevumi kopā, t.sk:</t>
  </si>
  <si>
    <t>Īre un noma kopā, t.sk.:</t>
  </si>
  <si>
    <t>Materiāli un izejvielas kopā, tai skaitā:</t>
  </si>
  <si>
    <t>Nodokļu maksājumi kopā, t sk.:</t>
  </si>
  <si>
    <t>Norēķini par prasībām kopā, t.sk.:</t>
  </si>
  <si>
    <t>Remontdarbi un uzturēšanas pakalpojumi kopā, t.sk.:</t>
  </si>
  <si>
    <t>Reprezentācijas izdevumi</t>
  </si>
  <si>
    <t>Riska nodeva</t>
  </si>
  <si>
    <t>Valsts nodeva</t>
  </si>
  <si>
    <t>Apsardzes pakalpojumi</t>
  </si>
  <si>
    <t>Izdevumi par siltumenerģiju</t>
  </si>
  <si>
    <t>Bankas pakalpojumi</t>
  </si>
  <si>
    <t>Reklāmas pakalpojumi</t>
  </si>
  <si>
    <t>Autotransporta pakalpojumi</t>
  </si>
  <si>
    <t>Pirts</t>
  </si>
  <si>
    <t>MDD</t>
  </si>
  <si>
    <t>Elektro.el un ūd.piegāde</t>
  </si>
  <si>
    <t>Noma</t>
  </si>
  <si>
    <t>pārējie (radn. preču pārd. pirtīs)</t>
  </si>
  <si>
    <t>Saņemtās soda naudas</t>
  </si>
  <si>
    <t>Citi ieņēmumi t.sk.</t>
  </si>
  <si>
    <t>Apdrošināšana</t>
  </si>
  <si>
    <t>Sistēmas apkalpošana</t>
  </si>
  <si>
    <t>kancelejas izdevumi</t>
  </si>
  <si>
    <t>materiāli remontam</t>
  </si>
  <si>
    <t>Atkrītumu izvešana</t>
  </si>
  <si>
    <t>materiāli</t>
  </si>
  <si>
    <t>Pārējie saimniecības pakalpojumi(veļas mazgāšana,paklāju tīrīšana )</t>
  </si>
  <si>
    <t>Procentu maksājumi</t>
  </si>
  <si>
    <t>Pārējie saimniecības darbības  izdevumi</t>
  </si>
  <si>
    <t>Pārējie izdevumi</t>
  </si>
  <si>
    <t>t.sk.Soc lietu pārvalde</t>
  </si>
  <si>
    <t>kWh daudzums,tūkst</t>
  </si>
  <si>
    <t xml:space="preserve">No pamatdarbības </t>
  </si>
  <si>
    <t>Pamatlīdzekļu  pārdošana</t>
  </si>
  <si>
    <t>Ieņēmumi no pārējiem pakalpojumiem</t>
  </si>
  <si>
    <t>Preču iepirkšanas izdevumi</t>
  </si>
  <si>
    <t>Telefona un citi sakaru pakalpojumi</t>
  </si>
  <si>
    <t>t.sk.elektroenerģijas sadale</t>
  </si>
  <si>
    <t xml:space="preserve">       elektroenerģijas tirdzniecība</t>
  </si>
  <si>
    <t>Ēkas noma</t>
  </si>
  <si>
    <t>J.Tukāne                         65424769,26809070</t>
  </si>
  <si>
    <t>Darba alga t.sk.:</t>
  </si>
  <si>
    <t>Darba ņēmēja valsts sociālās apdrošināšanas obligātās iemaksas</t>
  </si>
  <si>
    <t>Pārējie nodokļi un nodevas</t>
  </si>
  <si>
    <t>Darba drošības izdevumi(ugunsdzēsības aparāti,medikamenti)</t>
  </si>
  <si>
    <t>klientu  daudzums pirtīs</t>
  </si>
  <si>
    <t xml:space="preserve">       ūdens piegāde</t>
  </si>
  <si>
    <t>Mazvērtīgā inventāra vērtība</t>
  </si>
  <si>
    <t>Zaudējumi no valūtu konvertācijas</t>
  </si>
  <si>
    <t>Citi administrācijas izdevumi</t>
  </si>
  <si>
    <t>Energoresursi jeb enerģētiskie materiāli t.sk</t>
  </si>
  <si>
    <t xml:space="preserve">      degviela</t>
  </si>
  <si>
    <t xml:space="preserve">      kurināmais</t>
  </si>
  <si>
    <t>izpilde</t>
  </si>
  <si>
    <t>Darba aizsardzības izdevumi(Medicīniskā apskāte,piens)</t>
  </si>
  <si>
    <t>Bezcerīgi norakstītie parādi un  uzkrājumi šaub. parādiem</t>
  </si>
  <si>
    <t xml:space="preserve">Nefinanšu rādītāji (paveiktais / plānotais darba apjoms): </t>
  </si>
  <si>
    <t>Pārējie saimniec. darbības ieņēmumi</t>
  </si>
  <si>
    <t>Parskata periodā iekļaujamie iepriekš.periodu izdevumi</t>
  </si>
  <si>
    <t>Administratīvo ēku un telpu uzturēšana un remonts</t>
  </si>
  <si>
    <t>Neizmantotu atvaļinājumu aplēšu korekcija</t>
  </si>
  <si>
    <t>Valdes loceklis   ________________________Nikolajs Ignatjevs</t>
  </si>
  <si>
    <t>Jurista pakalpojumi</t>
  </si>
  <si>
    <t>Dokuments ir elektroniski parakstīts ar drošu elektronisko parakstu un satur laika zīmogu</t>
  </si>
  <si>
    <t>Budžeta plāna 2020.gada izpilde</t>
  </si>
  <si>
    <t>2018.gada attiecīgais periods</t>
  </si>
  <si>
    <t>2019.gada attiecīgais periods</t>
  </si>
  <si>
    <t>EUR/skaits</t>
  </si>
  <si>
    <t>%</t>
  </si>
  <si>
    <t>EUR/ skaits</t>
  </si>
  <si>
    <t>Štata vienību skaits atbilstoši apstiprinātajam amatu katalogam</t>
  </si>
  <si>
    <t>Faktiski strādājošo skaits kopā perioda beigās  (bez valdes locekļa)</t>
  </si>
  <si>
    <t>Vidējā darba alga (bez valdes locekļa)</t>
  </si>
  <si>
    <t>2020.gads      1.ceturksnis</t>
  </si>
  <si>
    <t>2020.gads      2.ceturksnis</t>
  </si>
  <si>
    <r>
      <t>IEŅĒMUMU kopsumma, t.sk.:</t>
    </r>
    <r>
      <rPr>
        <sz val="8"/>
        <rFont val="Times New Roman"/>
        <family val="1"/>
        <charset val="186"/>
      </rPr>
      <t xml:space="preserve"> **</t>
    </r>
  </si>
  <si>
    <r>
      <t xml:space="preserve">IZDEVUMU kopsumma, t.sk.: </t>
    </r>
    <r>
      <rPr>
        <sz val="8"/>
        <rFont val="Times New Roman"/>
        <family val="1"/>
        <charset val="186"/>
      </rPr>
      <t>***</t>
    </r>
  </si>
  <si>
    <r>
      <t xml:space="preserve">Periods kopā                      </t>
    </r>
    <r>
      <rPr>
        <sz val="8"/>
        <rFont val="Times New Roman"/>
        <family val="1"/>
        <charset val="186"/>
      </rPr>
      <t>(1.ceturksnis, pusgads, 9 mēneši, gads)</t>
    </r>
  </si>
  <si>
    <r>
      <t xml:space="preserve">Novirze no  plāna </t>
    </r>
    <r>
      <rPr>
        <sz val="8"/>
        <rFont val="Times New Roman"/>
        <family val="1"/>
        <charset val="186"/>
      </rPr>
      <t>(par periodu)</t>
    </r>
  </si>
  <si>
    <r>
      <t xml:space="preserve">Novirze no 2019.gada </t>
    </r>
    <r>
      <rPr>
        <sz val="8"/>
        <rFont val="Times New Roman"/>
        <family val="1"/>
        <charset val="186"/>
      </rPr>
      <t>attiecīgā perioda</t>
    </r>
  </si>
  <si>
    <t>2020.gads      3.ceturksnis</t>
  </si>
  <si>
    <t>st.likme</t>
  </si>
  <si>
    <t>2020.gads      4.ceturksnis</t>
  </si>
  <si>
    <t>Nikolajs Jefimovs</t>
  </si>
  <si>
    <t>Zaudējumu kompensācija Daugavpils pils.dome</t>
  </si>
  <si>
    <t xml:space="preserve">   piemaksas, prēmijas un naudas balvas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</si>
</sst>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7" formatCode="0.000"/>
    <numFmt numFmtId="170" formatCode="0.0000000000"/>
  </numFmts>
  <fonts count="31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 Cyr"/>
      <charset val="204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7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8"/>
      <name val="Arial"/>
      <family val="2"/>
      <charset val="204"/>
    </font>
    <font>
      <i/>
      <sz val="8"/>
      <name val="Times New Roman"/>
      <family val="1"/>
      <charset val="186"/>
    </font>
    <font>
      <b/>
      <sz val="8"/>
      <name val="Arial"/>
      <family val="2"/>
      <charset val="204"/>
    </font>
    <font>
      <b/>
      <sz val="8"/>
      <color theme="1"/>
      <name val="Times New Roman"/>
      <family val="1"/>
      <charset val="186"/>
    </font>
    <font>
      <b/>
      <sz val="8"/>
      <color theme="1"/>
      <name val="Calibri"/>
      <family val="2"/>
      <charset val="186"/>
      <scheme val="minor"/>
    </font>
    <font>
      <sz val="7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0" fontId="1" fillId="0" borderId="0"/>
    <xf numFmtId="0" fontId="19" fillId="0" borderId="0"/>
    <xf numFmtId="0" fontId="1" fillId="0" borderId="0"/>
    <xf numFmtId="0" fontId="2" fillId="0" borderId="0"/>
    <xf numFmtId="0" fontId="12" fillId="0" borderId="0"/>
    <xf numFmtId="9" fontId="30" fillId="0" borderId="0" applyFont="0" applyFill="0" applyBorder="0" applyAlignment="0" applyProtection="0"/>
  </cellStyleXfs>
  <cellXfs count="112">
    <xf numFmtId="0" fontId="0" fillId="0" borderId="0" xfId="0"/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167" fontId="0" fillId="0" borderId="0" xfId="0" applyNumberFormat="1"/>
    <xf numFmtId="167" fontId="8" fillId="0" borderId="0" xfId="0" applyNumberFormat="1" applyFont="1" applyBorder="1" applyAlignment="1">
      <alignment wrapText="1"/>
    </xf>
    <xf numFmtId="0" fontId="10" fillId="0" borderId="4" xfId="0" applyFont="1" applyFill="1" applyBorder="1"/>
    <xf numFmtId="0" fontId="9" fillId="0" borderId="4" xfId="0" applyFont="1" applyFill="1" applyBorder="1"/>
    <xf numFmtId="0" fontId="0" fillId="0" borderId="4" xfId="0" applyFill="1" applyBorder="1"/>
    <xf numFmtId="167" fontId="0" fillId="0" borderId="0" xfId="0" applyNumberFormat="1" applyBorder="1" applyAlignment="1"/>
    <xf numFmtId="0" fontId="14" fillId="0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7" fontId="17" fillId="0" borderId="1" xfId="0" applyNumberFormat="1" applyFont="1" applyFill="1" applyBorder="1" applyAlignment="1">
      <alignment horizontal="left"/>
    </xf>
    <xf numFmtId="167" fontId="8" fillId="0" borderId="0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4" fillId="0" borderId="4" xfId="3" applyFont="1" applyFill="1" applyBorder="1"/>
    <xf numFmtId="0" fontId="22" fillId="0" borderId="4" xfId="3" applyFont="1" applyFill="1" applyBorder="1"/>
    <xf numFmtId="0" fontId="21" fillId="0" borderId="4" xfId="3" applyFont="1" applyFill="1" applyBorder="1"/>
    <xf numFmtId="0" fontId="23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5" fillId="0" borderId="11" xfId="1" applyFont="1" applyFill="1" applyBorder="1"/>
    <xf numFmtId="0" fontId="25" fillId="0" borderId="4" xfId="0" applyFont="1" applyFill="1" applyBorder="1" applyAlignment="1">
      <alignment vertical="center" wrapText="1"/>
    </xf>
    <xf numFmtId="0" fontId="23" fillId="0" borderId="4" xfId="1" applyFont="1" applyFill="1" applyBorder="1" applyAlignment="1">
      <alignment horizontal="left"/>
    </xf>
    <xf numFmtId="0" fontId="23" fillId="0" borderId="12" xfId="1" applyFont="1" applyFill="1" applyBorder="1" applyAlignment="1">
      <alignment horizontal="left" wrapText="1"/>
    </xf>
    <xf numFmtId="0" fontId="23" fillId="0" borderId="10" xfId="1" applyFont="1" applyFill="1" applyBorder="1" applyAlignment="1">
      <alignment horizontal="left" wrapText="1"/>
    </xf>
    <xf numFmtId="0" fontId="26" fillId="0" borderId="4" xfId="3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2" fillId="0" borderId="1" xfId="0" applyFont="1" applyBorder="1"/>
    <xf numFmtId="167" fontId="22" fillId="0" borderId="1" xfId="0" applyNumberFormat="1" applyFont="1" applyBorder="1"/>
    <xf numFmtId="2" fontId="22" fillId="0" borderId="1" xfId="0" applyNumberFormat="1" applyFont="1" applyBorder="1"/>
    <xf numFmtId="0" fontId="18" fillId="0" borderId="1" xfId="0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22" fillId="3" borderId="2" xfId="0" applyFont="1" applyFill="1" applyBorder="1"/>
    <xf numFmtId="0" fontId="23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1" fontId="22" fillId="0" borderId="1" xfId="0" applyNumberFormat="1" applyFont="1" applyBorder="1"/>
    <xf numFmtId="0" fontId="27" fillId="4" borderId="1" xfId="0" applyFont="1" applyFill="1" applyBorder="1" applyAlignment="1">
      <alignment wrapText="1"/>
    </xf>
    <xf numFmtId="1" fontId="16" fillId="3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 applyAlignment="1">
      <alignment wrapText="1"/>
    </xf>
    <xf numFmtId="167" fontId="18" fillId="4" borderId="1" xfId="0" applyNumberFormat="1" applyFont="1" applyFill="1" applyBorder="1" applyAlignment="1">
      <alignment wrapText="1"/>
    </xf>
    <xf numFmtId="167" fontId="18" fillId="3" borderId="1" xfId="0" applyNumberFormat="1" applyFont="1" applyFill="1" applyBorder="1" applyAlignment="1">
      <alignment wrapText="1"/>
    </xf>
    <xf numFmtId="167" fontId="23" fillId="0" borderId="1" xfId="0" applyNumberFormat="1" applyFont="1" applyFill="1" applyBorder="1" applyAlignment="1">
      <alignment wrapText="1"/>
    </xf>
    <xf numFmtId="167" fontId="23" fillId="4" borderId="1" xfId="0" applyNumberFormat="1" applyFont="1" applyFill="1" applyBorder="1" applyAlignment="1">
      <alignment wrapText="1"/>
    </xf>
    <xf numFmtId="167" fontId="17" fillId="0" borderId="1" xfId="0" applyNumberFormat="1" applyFont="1" applyFill="1" applyBorder="1"/>
    <xf numFmtId="167" fontId="22" fillId="0" borderId="1" xfId="0" applyNumberFormat="1" applyFont="1" applyFill="1" applyBorder="1"/>
    <xf numFmtId="167" fontId="16" fillId="4" borderId="1" xfId="0" applyNumberFormat="1" applyFont="1" applyFill="1" applyBorder="1" applyAlignment="1">
      <alignment wrapText="1"/>
    </xf>
    <xf numFmtId="167" fontId="23" fillId="2" borderId="1" xfId="0" applyNumberFormat="1" applyFont="1" applyFill="1" applyBorder="1" applyAlignment="1">
      <alignment wrapText="1"/>
    </xf>
    <xf numFmtId="167" fontId="23" fillId="3" borderId="1" xfId="0" applyNumberFormat="1" applyFont="1" applyFill="1" applyBorder="1" applyAlignment="1">
      <alignment wrapText="1"/>
    </xf>
    <xf numFmtId="167" fontId="16" fillId="4" borderId="1" xfId="0" applyNumberFormat="1" applyFont="1" applyFill="1" applyBorder="1" applyAlignment="1">
      <alignment vertical="center" wrapText="1"/>
    </xf>
    <xf numFmtId="167" fontId="23" fillId="4" borderId="1" xfId="0" applyNumberFormat="1" applyFont="1" applyFill="1" applyBorder="1" applyAlignment="1">
      <alignment vertical="center" wrapText="1"/>
    </xf>
    <xf numFmtId="167" fontId="23" fillId="0" borderId="1" xfId="0" applyNumberFormat="1" applyFont="1" applyFill="1" applyBorder="1" applyAlignment="1">
      <alignment vertical="center" wrapText="1"/>
    </xf>
    <xf numFmtId="167" fontId="16" fillId="0" borderId="1" xfId="0" applyNumberFormat="1" applyFont="1" applyFill="1" applyBorder="1" applyAlignment="1">
      <alignment vertical="center" wrapText="1"/>
    </xf>
    <xf numFmtId="167" fontId="18" fillId="2" borderId="1" xfId="0" applyNumberFormat="1" applyFont="1" applyFill="1" applyBorder="1" applyAlignment="1">
      <alignment wrapText="1"/>
    </xf>
    <xf numFmtId="167" fontId="27" fillId="0" borderId="1" xfId="0" applyNumberFormat="1" applyFont="1" applyFill="1" applyBorder="1" applyAlignment="1">
      <alignment wrapText="1"/>
    </xf>
    <xf numFmtId="167" fontId="27" fillId="4" borderId="1" xfId="0" applyNumberFormat="1" applyFont="1" applyFill="1" applyBorder="1" applyAlignment="1">
      <alignment wrapText="1"/>
    </xf>
    <xf numFmtId="167" fontId="28" fillId="0" borderId="1" xfId="0" applyNumberFormat="1" applyFont="1" applyFill="1" applyBorder="1"/>
    <xf numFmtId="0" fontId="18" fillId="0" borderId="1" xfId="0" applyFont="1" applyBorder="1" applyAlignment="1">
      <alignment horizontal="center" wrapText="1"/>
    </xf>
    <xf numFmtId="0" fontId="22" fillId="0" borderId="4" xfId="3" applyFont="1" applyFill="1" applyBorder="1" applyAlignment="1">
      <alignment wrapText="1"/>
    </xf>
    <xf numFmtId="2" fontId="23" fillId="0" borderId="1" xfId="0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wrapText="1"/>
    </xf>
    <xf numFmtId="167" fontId="18" fillId="0" borderId="1" xfId="0" applyNumberFormat="1" applyFont="1" applyFill="1" applyBorder="1" applyAlignment="1">
      <alignment vertical="center" wrapText="1"/>
    </xf>
    <xf numFmtId="167" fontId="29" fillId="0" borderId="0" xfId="0" applyNumberFormat="1" applyFont="1"/>
    <xf numFmtId="167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2" fontId="23" fillId="4" borderId="1" xfId="0" applyNumberFormat="1" applyFont="1" applyFill="1" applyBorder="1" applyAlignment="1">
      <alignment horizontal="center" wrapText="1"/>
    </xf>
    <xf numFmtId="2" fontId="23" fillId="3" borderId="1" xfId="0" applyNumberFormat="1" applyFont="1" applyFill="1" applyBorder="1" applyAlignment="1">
      <alignment horizontal="center" wrapText="1"/>
    </xf>
    <xf numFmtId="167" fontId="18" fillId="0" borderId="13" xfId="0" applyNumberFormat="1" applyFont="1" applyFill="1" applyBorder="1" applyAlignment="1">
      <alignment wrapText="1"/>
    </xf>
    <xf numFmtId="167" fontId="23" fillId="0" borderId="0" xfId="0" applyNumberFormat="1" applyFont="1" applyBorder="1" applyAlignment="1">
      <alignment horizontal="center" wrapText="1"/>
    </xf>
    <xf numFmtId="167" fontId="15" fillId="0" borderId="0" xfId="0" applyNumberFormat="1" applyFont="1" applyBorder="1" applyAlignment="1">
      <alignment horizontal="center" wrapText="1"/>
    </xf>
    <xf numFmtId="167" fontId="22" fillId="0" borderId="0" xfId="0" applyNumberFormat="1" applyFont="1"/>
    <xf numFmtId="167" fontId="2" fillId="0" borderId="0" xfId="0" applyNumberFormat="1" applyFont="1"/>
    <xf numFmtId="167" fontId="23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165" fontId="22" fillId="0" borderId="1" xfId="0" applyNumberFormat="1" applyFont="1" applyBorder="1"/>
    <xf numFmtId="2" fontId="22" fillId="0" borderId="1" xfId="9" applyNumberFormat="1" applyFont="1" applyBorder="1"/>
    <xf numFmtId="170" fontId="22" fillId="0" borderId="1" xfId="0" applyNumberFormat="1" applyFont="1" applyBorder="1"/>
    <xf numFmtId="167" fontId="18" fillId="4" borderId="13" xfId="0" applyNumberFormat="1" applyFont="1" applyFill="1" applyBorder="1" applyAlignment="1">
      <alignment wrapText="1"/>
    </xf>
    <xf numFmtId="167" fontId="23" fillId="4" borderId="13" xfId="0" applyNumberFormat="1" applyFont="1" applyFill="1" applyBorder="1" applyAlignment="1">
      <alignment wrapText="1"/>
    </xf>
    <xf numFmtId="167" fontId="22" fillId="4" borderId="13" xfId="0" applyNumberFormat="1" applyFont="1" applyFill="1" applyBorder="1"/>
    <xf numFmtId="167" fontId="22" fillId="4" borderId="1" xfId="0" applyNumberFormat="1" applyFont="1" applyFill="1" applyBorder="1"/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</cellXfs>
  <cellStyles count="10">
    <cellStyle name="Normal 2" xfId="1"/>
    <cellStyle name="Normal 2 2" xfId="5"/>
    <cellStyle name="Normal 3" xfId="4"/>
    <cellStyle name="Parasts 2" xfId="7"/>
    <cellStyle name="Parasts 2 2" xfId="8"/>
    <cellStyle name="Percent 2" xfId="2"/>
    <cellStyle name="Обычный" xfId="0" builtinId="0"/>
    <cellStyle name="Обычный 2" xfId="3"/>
    <cellStyle name="Обычный 3" xfId="6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A77" zoomScale="85" zoomScaleNormal="85" workbookViewId="0">
      <selection activeCell="N96" sqref="N96"/>
    </sheetView>
  </sheetViews>
  <sheetFormatPr defaultRowHeight="12.5" x14ac:dyDescent="0.25"/>
  <cols>
    <col min="1" max="1" width="2.81640625" customWidth="1"/>
    <col min="2" max="2" width="23.6328125" style="5" customWidth="1"/>
    <col min="3" max="3" width="7.36328125" style="5" bestFit="1" customWidth="1"/>
    <col min="4" max="4" width="7.08984375" style="5" customWidth="1"/>
    <col min="5" max="5" width="5.81640625" style="5" customWidth="1"/>
    <col min="6" max="6" width="5.7265625" style="5" customWidth="1"/>
    <col min="7" max="7" width="5.90625" style="5" customWidth="1"/>
    <col min="8" max="8" width="5.54296875" style="5" customWidth="1"/>
    <col min="9" max="9" width="6.1796875" style="5" customWidth="1"/>
    <col min="10" max="10" width="6.36328125" style="5" customWidth="1"/>
    <col min="11" max="11" width="6.08984375" style="5" customWidth="1"/>
    <col min="12" max="12" width="6.90625" style="5" bestFit="1" customWidth="1"/>
    <col min="13" max="13" width="6.54296875" style="5" customWidth="1"/>
    <col min="14" max="14" width="6.54296875" customWidth="1"/>
    <col min="15" max="15" width="6.08984375" customWidth="1"/>
    <col min="16" max="16" width="4.26953125" customWidth="1"/>
    <col min="17" max="17" width="5.453125" customWidth="1"/>
    <col min="18" max="18" width="4.54296875" bestFit="1" customWidth="1"/>
    <col min="20" max="20" width="11.453125" bestFit="1" customWidth="1"/>
    <col min="21" max="21" width="11.7265625" bestFit="1" customWidth="1"/>
  </cols>
  <sheetData>
    <row r="1" spans="1:19" ht="24.75" customHeight="1" x14ac:dyDescent="0.35">
      <c r="A1" s="111" t="s">
        <v>100</v>
      </c>
      <c r="B1" s="111"/>
      <c r="C1" s="111"/>
      <c r="D1" s="111"/>
      <c r="E1" s="102" t="s">
        <v>20</v>
      </c>
      <c r="F1" s="102"/>
      <c r="G1" s="102"/>
      <c r="H1" s="102"/>
      <c r="I1" s="102"/>
      <c r="J1" s="102"/>
      <c r="K1" s="102"/>
      <c r="L1" s="102"/>
      <c r="M1" s="102"/>
    </row>
    <row r="2" spans="1:19" s="6" customFormat="1" ht="16.5" customHeight="1" thickBot="1" x14ac:dyDescent="0.3">
      <c r="A2" s="8"/>
      <c r="B2" s="7"/>
      <c r="C2" s="7"/>
      <c r="D2" s="19"/>
      <c r="E2" s="7"/>
      <c r="F2" s="103" t="s">
        <v>9</v>
      </c>
      <c r="G2" s="103"/>
      <c r="H2" s="103"/>
      <c r="I2" s="103"/>
      <c r="J2" s="103"/>
      <c r="K2" s="103"/>
      <c r="L2" s="103"/>
      <c r="M2" s="103"/>
    </row>
    <row r="3" spans="1:19" ht="47.25" customHeight="1" x14ac:dyDescent="0.25">
      <c r="A3" s="106" t="s">
        <v>10</v>
      </c>
      <c r="B3" s="108" t="s">
        <v>14</v>
      </c>
      <c r="C3" s="76" t="s">
        <v>101</v>
      </c>
      <c r="D3" s="76" t="s">
        <v>102</v>
      </c>
      <c r="E3" s="104" t="s">
        <v>109</v>
      </c>
      <c r="F3" s="105"/>
      <c r="G3" s="104" t="s">
        <v>110</v>
      </c>
      <c r="H3" s="105"/>
      <c r="I3" s="104" t="s">
        <v>116</v>
      </c>
      <c r="J3" s="105"/>
      <c r="K3" s="104" t="s">
        <v>118</v>
      </c>
      <c r="L3" s="105"/>
      <c r="M3" s="110" t="s">
        <v>113</v>
      </c>
      <c r="N3" s="110"/>
      <c r="O3" s="100" t="s">
        <v>114</v>
      </c>
      <c r="P3" s="101"/>
      <c r="Q3" s="100" t="s">
        <v>115</v>
      </c>
      <c r="R3" s="101"/>
    </row>
    <row r="4" spans="1:19" ht="62" x14ac:dyDescent="0.35">
      <c r="A4" s="107"/>
      <c r="B4" s="109"/>
      <c r="C4" s="15" t="s">
        <v>34</v>
      </c>
      <c r="D4" s="15"/>
      <c r="E4" s="15" t="s">
        <v>8</v>
      </c>
      <c r="F4" s="15" t="s">
        <v>89</v>
      </c>
      <c r="G4" s="15" t="s">
        <v>8</v>
      </c>
      <c r="H4" s="15" t="s">
        <v>89</v>
      </c>
      <c r="I4" s="15" t="s">
        <v>8</v>
      </c>
      <c r="J4" s="15" t="s">
        <v>89</v>
      </c>
      <c r="K4" s="15" t="s">
        <v>8</v>
      </c>
      <c r="L4" s="15" t="s">
        <v>89</v>
      </c>
      <c r="M4" s="15" t="s">
        <v>8</v>
      </c>
      <c r="N4" s="15" t="s">
        <v>89</v>
      </c>
      <c r="O4" s="21" t="s">
        <v>103</v>
      </c>
      <c r="P4" s="17" t="s">
        <v>104</v>
      </c>
      <c r="Q4" s="21" t="s">
        <v>105</v>
      </c>
      <c r="R4" s="17" t="s">
        <v>104</v>
      </c>
    </row>
    <row r="5" spans="1:19" ht="31.5" x14ac:dyDescent="0.25">
      <c r="A5" s="20"/>
      <c r="B5" s="25" t="s">
        <v>106</v>
      </c>
      <c r="C5" s="41">
        <v>29</v>
      </c>
      <c r="D5" s="41">
        <v>29</v>
      </c>
      <c r="E5" s="41">
        <v>30</v>
      </c>
      <c r="F5" s="41">
        <v>30</v>
      </c>
      <c r="G5" s="41">
        <v>30</v>
      </c>
      <c r="H5" s="41">
        <v>30</v>
      </c>
      <c r="I5" s="41">
        <v>30</v>
      </c>
      <c r="J5" s="41">
        <v>30</v>
      </c>
      <c r="K5" s="42">
        <v>30</v>
      </c>
      <c r="L5" s="42">
        <v>30</v>
      </c>
      <c r="M5" s="43">
        <f>E5</f>
        <v>30</v>
      </c>
      <c r="N5" s="44">
        <f>F5</f>
        <v>30</v>
      </c>
      <c r="O5" s="45">
        <f>N5-M5</f>
        <v>0</v>
      </c>
      <c r="P5" s="46">
        <f>N5/M5</f>
        <v>1</v>
      </c>
      <c r="Q5" s="45">
        <f>N5-D5</f>
        <v>1</v>
      </c>
      <c r="R5" s="48">
        <f>N5/D5</f>
        <v>1.0344827586206897</v>
      </c>
    </row>
    <row r="6" spans="1:19" ht="30.5" x14ac:dyDescent="0.25">
      <c r="A6" s="20"/>
      <c r="B6" s="26" t="s">
        <v>107</v>
      </c>
      <c r="C6" s="41">
        <v>29</v>
      </c>
      <c r="D6" s="41">
        <v>29</v>
      </c>
      <c r="E6" s="41">
        <v>30</v>
      </c>
      <c r="F6" s="41">
        <v>30</v>
      </c>
      <c r="G6" s="41">
        <v>30</v>
      </c>
      <c r="H6" s="41">
        <v>30</v>
      </c>
      <c r="I6" s="41">
        <v>30</v>
      </c>
      <c r="J6" s="41">
        <v>30</v>
      </c>
      <c r="K6" s="42">
        <v>30</v>
      </c>
      <c r="L6" s="42">
        <v>30</v>
      </c>
      <c r="M6" s="43">
        <v>30</v>
      </c>
      <c r="N6" s="44">
        <f t="shared" ref="N6" si="0">F6</f>
        <v>30</v>
      </c>
      <c r="O6" s="45">
        <f t="shared" ref="O6:O69" si="1">N6-M6</f>
        <v>0</v>
      </c>
      <c r="P6" s="46">
        <f t="shared" ref="P6:P69" si="2">N6/M6</f>
        <v>1</v>
      </c>
      <c r="Q6" s="45">
        <f t="shared" ref="Q6:Q69" si="3">N6-D6</f>
        <v>1</v>
      </c>
      <c r="R6" s="48">
        <f t="shared" ref="R6:R7" si="4">N6/D6</f>
        <v>1.0344827586206897</v>
      </c>
    </row>
    <row r="7" spans="1:19" ht="21" x14ac:dyDescent="0.25">
      <c r="A7" s="20"/>
      <c r="B7" s="25" t="s">
        <v>108</v>
      </c>
      <c r="C7" s="41">
        <v>511.32</v>
      </c>
      <c r="D7" s="41">
        <v>548.79</v>
      </c>
      <c r="E7" s="41">
        <v>465</v>
      </c>
      <c r="F7" s="41">
        <v>409</v>
      </c>
      <c r="G7" s="78">
        <f>(G32*1000-1550*3)/3/30</f>
        <v>565.56666666666672</v>
      </c>
      <c r="H7" s="78">
        <f>(H32*1000-1550*3)/3/30</f>
        <v>437.01111111111112</v>
      </c>
      <c r="I7" s="78">
        <f>(I32*1000-1550*3)/3/30</f>
        <v>561.4666666666667</v>
      </c>
      <c r="J7" s="78">
        <f>(J32*1000-1550*3)/3/30</f>
        <v>473.27777777777789</v>
      </c>
      <c r="K7" s="84">
        <f>(K32*1000-1550*3)/3/30</f>
        <v>560.70000000000016</v>
      </c>
      <c r="L7" s="84">
        <f>(L32*1000-4055.71-2474.13)/3/29</f>
        <v>513.48459770114948</v>
      </c>
      <c r="M7" s="85">
        <f>(M32*1000-1550*3)/9/30</f>
        <v>769.24444444444441</v>
      </c>
      <c r="N7" s="85">
        <f>(N32*1000-1550*3)/9/30</f>
        <v>663.89259259259256</v>
      </c>
      <c r="O7" s="92">
        <f t="shared" si="1"/>
        <v>-105.35185185185185</v>
      </c>
      <c r="P7" s="48">
        <f t="shared" si="2"/>
        <v>0.86304502734766197</v>
      </c>
      <c r="Q7" s="92">
        <f t="shared" si="3"/>
        <v>115.1025925925926</v>
      </c>
      <c r="R7" s="48">
        <f t="shared" si="4"/>
        <v>1.2097388665839257</v>
      </c>
    </row>
    <row r="8" spans="1:19" x14ac:dyDescent="0.25">
      <c r="A8" s="20"/>
      <c r="B8" s="27"/>
      <c r="C8" s="41"/>
      <c r="D8" s="41"/>
      <c r="E8" s="41"/>
      <c r="F8" s="41"/>
      <c r="G8" s="41"/>
      <c r="H8" s="41"/>
      <c r="I8" s="41"/>
      <c r="J8" s="41"/>
      <c r="K8" s="42"/>
      <c r="L8" s="42"/>
      <c r="M8" s="43"/>
      <c r="N8" s="44"/>
      <c r="O8" s="45">
        <f t="shared" si="1"/>
        <v>0</v>
      </c>
      <c r="P8" s="48"/>
      <c r="Q8" s="45">
        <f t="shared" si="3"/>
        <v>0</v>
      </c>
      <c r="R8" s="47"/>
    </row>
    <row r="9" spans="1:19" ht="33.75" customHeight="1" x14ac:dyDescent="0.3">
      <c r="A9" s="11" t="s">
        <v>11</v>
      </c>
      <c r="B9" s="28" t="s">
        <v>92</v>
      </c>
      <c r="C9" s="49"/>
      <c r="D9" s="49"/>
      <c r="E9" s="49"/>
      <c r="F9" s="49"/>
      <c r="G9" s="49"/>
      <c r="H9" s="49"/>
      <c r="I9" s="49"/>
      <c r="J9" s="49"/>
      <c r="K9" s="50"/>
      <c r="L9" s="50"/>
      <c r="M9" s="51"/>
      <c r="N9" s="52"/>
      <c r="O9" s="45">
        <f t="shared" si="1"/>
        <v>0</v>
      </c>
      <c r="P9" s="48"/>
      <c r="Q9" s="45">
        <f t="shared" si="3"/>
        <v>0</v>
      </c>
      <c r="R9" s="47"/>
    </row>
    <row r="10" spans="1:19" x14ac:dyDescent="0.25">
      <c r="A10" s="12"/>
      <c r="B10" s="29" t="s">
        <v>68</v>
      </c>
      <c r="C10" s="49"/>
      <c r="D10" s="49"/>
      <c r="E10" s="49"/>
      <c r="F10" s="49"/>
      <c r="G10" s="49"/>
      <c r="H10" s="49"/>
      <c r="I10" s="49"/>
      <c r="J10" s="49"/>
      <c r="K10" s="50"/>
      <c r="L10" s="50"/>
      <c r="M10" s="53"/>
      <c r="N10" s="52"/>
      <c r="O10" s="45">
        <f t="shared" si="1"/>
        <v>0</v>
      </c>
      <c r="P10" s="48"/>
      <c r="Q10" s="45">
        <f t="shared" si="3"/>
        <v>0</v>
      </c>
      <c r="R10" s="47"/>
    </row>
    <row r="11" spans="1:19" x14ac:dyDescent="0.25">
      <c r="A11" s="12"/>
      <c r="B11" s="29" t="s">
        <v>81</v>
      </c>
      <c r="C11" s="54">
        <v>49230</v>
      </c>
      <c r="D11" s="54">
        <v>49882</v>
      </c>
      <c r="E11" s="55">
        <v>12300</v>
      </c>
      <c r="F11" s="54">
        <v>12254</v>
      </c>
      <c r="G11" s="54">
        <v>12300</v>
      </c>
      <c r="H11" s="54">
        <v>3515</v>
      </c>
      <c r="I11" s="54">
        <v>12330</v>
      </c>
      <c r="J11" s="54">
        <f>14114+9243-15769</f>
        <v>7588</v>
      </c>
      <c r="K11" s="56">
        <v>12955</v>
      </c>
      <c r="L11" s="56">
        <f>2823-826+3091</f>
        <v>5088</v>
      </c>
      <c r="M11" s="57">
        <f>E11+G11+I11+K11</f>
        <v>49885</v>
      </c>
      <c r="N11" s="57">
        <f>F11+H11+J11+L11</f>
        <v>28445</v>
      </c>
      <c r="O11" s="45">
        <f t="shared" si="1"/>
        <v>-21440</v>
      </c>
      <c r="P11" s="48">
        <f t="shared" si="2"/>
        <v>0.57021148641876318</v>
      </c>
      <c r="Q11" s="45">
        <f t="shared" si="3"/>
        <v>-21437</v>
      </c>
      <c r="R11" s="48">
        <f t="shared" ref="R11:R69" si="5">N11/D11</f>
        <v>0.57024578004089654</v>
      </c>
    </row>
    <row r="12" spans="1:19" x14ac:dyDescent="0.25">
      <c r="A12" s="12"/>
      <c r="B12" s="29" t="s">
        <v>66</v>
      </c>
      <c r="C12" s="49">
        <v>31082</v>
      </c>
      <c r="D12" s="49">
        <v>35760</v>
      </c>
      <c r="E12" s="46">
        <v>7780</v>
      </c>
      <c r="F12" s="49">
        <v>7080</v>
      </c>
      <c r="G12" s="49">
        <v>7781</v>
      </c>
      <c r="H12" s="49">
        <v>2317</v>
      </c>
      <c r="I12" s="49">
        <v>7780</v>
      </c>
      <c r="J12" s="49">
        <f>14114-9397</f>
        <v>4717</v>
      </c>
      <c r="K12" s="50">
        <v>7789</v>
      </c>
      <c r="L12" s="50">
        <f>3917-826</f>
        <v>3091</v>
      </c>
      <c r="M12" s="57">
        <f t="shared" ref="M12:M13" si="6">E12+G12+I12</f>
        <v>23341</v>
      </c>
      <c r="N12" s="57">
        <f>F12+H12+J12+L12</f>
        <v>17205</v>
      </c>
      <c r="O12" s="45">
        <f t="shared" si="1"/>
        <v>-6136</v>
      </c>
      <c r="P12" s="48">
        <f t="shared" si="2"/>
        <v>0.737114947945675</v>
      </c>
      <c r="Q12" s="45">
        <f t="shared" si="3"/>
        <v>-18555</v>
      </c>
      <c r="R12" s="48">
        <f t="shared" si="5"/>
        <v>0.4811241610738255</v>
      </c>
    </row>
    <row r="13" spans="1:19" x14ac:dyDescent="0.25">
      <c r="A13" s="12"/>
      <c r="B13" s="29" t="s">
        <v>67</v>
      </c>
      <c r="C13" s="49">
        <v>5670</v>
      </c>
      <c r="D13" s="49">
        <v>5468</v>
      </c>
      <c r="E13" s="46">
        <v>1400</v>
      </c>
      <c r="F13" s="49">
        <v>1507</v>
      </c>
      <c r="G13" s="49">
        <v>1450</v>
      </c>
      <c r="H13" s="49">
        <v>1299</v>
      </c>
      <c r="I13" s="49">
        <v>1425</v>
      </c>
      <c r="J13" s="49">
        <f>4170-2806</f>
        <v>1364</v>
      </c>
      <c r="K13" s="50">
        <v>1425</v>
      </c>
      <c r="L13" s="50">
        <v>1438</v>
      </c>
      <c r="M13" s="57">
        <f t="shared" si="6"/>
        <v>4275</v>
      </c>
      <c r="N13" s="57">
        <f>F13+H13+J13+L13</f>
        <v>5608</v>
      </c>
      <c r="O13" s="45">
        <f t="shared" si="1"/>
        <v>1333</v>
      </c>
      <c r="P13" s="48">
        <f t="shared" si="2"/>
        <v>1.311812865497076</v>
      </c>
      <c r="Q13" s="45">
        <f t="shared" si="3"/>
        <v>140</v>
      </c>
      <c r="R13" s="48">
        <f t="shared" si="5"/>
        <v>1.0256035113386979</v>
      </c>
    </row>
    <row r="14" spans="1:19" ht="29.25" customHeight="1" x14ac:dyDescent="0.3">
      <c r="A14" s="11" t="s">
        <v>12</v>
      </c>
      <c r="B14" s="28" t="s">
        <v>111</v>
      </c>
      <c r="C14" s="58">
        <f t="shared" ref="C14" si="7">C15+C25+C29</f>
        <v>1056.8340000000001</v>
      </c>
      <c r="D14" s="58">
        <f>D15+D25+D29</f>
        <v>1052.2150000000001</v>
      </c>
      <c r="E14" s="58">
        <f t="shared" ref="E14" si="8">E15+E25+E29</f>
        <v>269.37300000000005</v>
      </c>
      <c r="F14" s="58">
        <f>F15+F25+F29</f>
        <v>273.03600000000006</v>
      </c>
      <c r="G14" s="58">
        <f t="shared" ref="G14:J14" si="9">G15+G25+G29</f>
        <v>280.625</v>
      </c>
      <c r="H14" s="58">
        <f t="shared" si="9"/>
        <v>231.16900000000004</v>
      </c>
      <c r="I14" s="58">
        <f t="shared" si="9"/>
        <v>282.017</v>
      </c>
      <c r="J14" s="58">
        <f t="shared" si="9"/>
        <v>244.98099999999999</v>
      </c>
      <c r="K14" s="96">
        <f>K15+K25+K29</f>
        <v>272.94899999999996</v>
      </c>
      <c r="L14" s="96">
        <f>L15+L25</f>
        <v>245.96099999999998</v>
      </c>
      <c r="M14" s="60">
        <f>M15+M25+M29</f>
        <v>1104.9640000000002</v>
      </c>
      <c r="N14" s="60">
        <f>N15+N25</f>
        <v>995.14700000000016</v>
      </c>
      <c r="O14" s="45">
        <f t="shared" si="1"/>
        <v>-109.81700000000001</v>
      </c>
      <c r="P14" s="48">
        <f t="shared" si="2"/>
        <v>0.90061486166065141</v>
      </c>
      <c r="Q14" s="45">
        <f t="shared" si="3"/>
        <v>-57.067999999999984</v>
      </c>
      <c r="R14" s="48">
        <f t="shared" si="5"/>
        <v>0.94576393607770282</v>
      </c>
    </row>
    <row r="15" spans="1:19" x14ac:dyDescent="0.25">
      <c r="A15" s="12"/>
      <c r="B15" s="29" t="s">
        <v>68</v>
      </c>
      <c r="C15" s="58">
        <f t="shared" ref="C15" si="10">C16+C17+C18+C22+C23+C24</f>
        <v>1036.894</v>
      </c>
      <c r="D15" s="58">
        <f>D16+D17+D18+D22+D23+D24</f>
        <v>1033.5500000000002</v>
      </c>
      <c r="E15" s="61">
        <f t="shared" ref="E15" si="11">E16+E17+E18+E22+E23+E24</f>
        <v>267.22300000000007</v>
      </c>
      <c r="F15" s="61">
        <f>F16+F17+F18+F22+F23+F24</f>
        <v>270.19700000000006</v>
      </c>
      <c r="G15" s="61">
        <f t="shared" ref="G15" si="12">G16+G17+G18+G22+G23+G24</f>
        <v>278.47500000000002</v>
      </c>
      <c r="H15" s="61">
        <f>H16+H17+H18+H22+H23+H24</f>
        <v>230.00700000000003</v>
      </c>
      <c r="I15" s="61">
        <f t="shared" ref="I15:K15" si="13">I16+I17+I18+I22+I23+I24</f>
        <v>279.86700000000002</v>
      </c>
      <c r="J15" s="61">
        <f t="shared" si="13"/>
        <v>242.70499999999998</v>
      </c>
      <c r="K15" s="97">
        <f t="shared" si="13"/>
        <v>270.79899999999998</v>
      </c>
      <c r="L15" s="62">
        <f>L16+L17+L18+L22+L23+L24</f>
        <v>224.78299999999999</v>
      </c>
      <c r="M15" s="67">
        <f t="shared" ref="M15" si="14">M16+M17+M18+M22+M23+M24</f>
        <v>1096.3640000000003</v>
      </c>
      <c r="N15" s="67">
        <f t="shared" ref="N15" si="15">N16+N17+N18+N22+N23+N24</f>
        <v>967.69200000000012</v>
      </c>
      <c r="O15" s="45">
        <f t="shared" si="1"/>
        <v>-128.67200000000014</v>
      </c>
      <c r="P15" s="48">
        <f t="shared" si="2"/>
        <v>0.88263751819651126</v>
      </c>
      <c r="Q15" s="45">
        <f t="shared" si="3"/>
        <v>-65.858000000000061</v>
      </c>
      <c r="R15" s="48">
        <f t="shared" si="5"/>
        <v>0.93627981229742141</v>
      </c>
    </row>
    <row r="16" spans="1:19" x14ac:dyDescent="0.25">
      <c r="A16" s="12"/>
      <c r="B16" s="30" t="s">
        <v>49</v>
      </c>
      <c r="C16" s="63">
        <v>175.57599999999999</v>
      </c>
      <c r="D16" s="63">
        <v>177.71</v>
      </c>
      <c r="E16" s="64">
        <v>44.154000000000003</v>
      </c>
      <c r="F16" s="79">
        <v>38.326000000000001</v>
      </c>
      <c r="G16" s="79">
        <v>44.36</v>
      </c>
      <c r="H16" s="79">
        <f>50.776-38.326</f>
        <v>12.450000000000003</v>
      </c>
      <c r="I16" s="79">
        <v>45</v>
      </c>
      <c r="J16" s="79">
        <f>84.3-50.776</f>
        <v>33.523999999999994</v>
      </c>
      <c r="K16" s="98">
        <f>43.913+0.529</f>
        <v>44.442</v>
      </c>
      <c r="L16" s="65">
        <f>102.674-84.3</f>
        <v>18.374000000000009</v>
      </c>
      <c r="M16" s="67">
        <f>E16+G16+I16+K16</f>
        <v>177.95600000000002</v>
      </c>
      <c r="N16" s="67">
        <f>F16+H16+J16+L16</f>
        <v>102.67400000000001</v>
      </c>
      <c r="O16" s="45">
        <f t="shared" si="1"/>
        <v>-75.282000000000011</v>
      </c>
      <c r="P16" s="48">
        <f t="shared" si="2"/>
        <v>0.57696284474813997</v>
      </c>
      <c r="Q16" s="45">
        <f t="shared" si="3"/>
        <v>-75.036000000000001</v>
      </c>
      <c r="R16" s="48">
        <f t="shared" si="5"/>
        <v>0.57776152158010241</v>
      </c>
      <c r="S16" s="9"/>
    </row>
    <row r="17" spans="1:19" x14ac:dyDescent="0.25">
      <c r="A17" s="12"/>
      <c r="B17" s="30" t="s">
        <v>50</v>
      </c>
      <c r="C17" s="63">
        <v>25.681999999999999</v>
      </c>
      <c r="D17" s="63">
        <v>26.187999999999999</v>
      </c>
      <c r="E17" s="64">
        <v>3.3450000000000002</v>
      </c>
      <c r="F17" s="61">
        <v>4.069</v>
      </c>
      <c r="G17" s="61">
        <v>9.1999999999999993</v>
      </c>
      <c r="H17" s="61">
        <f>13.188-4.069</f>
        <v>9.1189999999999998</v>
      </c>
      <c r="I17" s="61">
        <v>9.9570000000000007</v>
      </c>
      <c r="J17" s="61">
        <f>24.617-13.188</f>
        <v>11.429</v>
      </c>
      <c r="K17" s="98">
        <v>3.3450000000000002</v>
      </c>
      <c r="L17" s="62">
        <f>31.791-24.617</f>
        <v>7.1739999999999995</v>
      </c>
      <c r="M17" s="67">
        <f t="shared" ref="M17:M24" si="16">E17+G17+I17+K17</f>
        <v>25.847000000000001</v>
      </c>
      <c r="N17" s="67">
        <f t="shared" ref="N17:N24" si="17">F17+H17+J17+L17</f>
        <v>31.790999999999997</v>
      </c>
      <c r="O17" s="45">
        <f t="shared" si="1"/>
        <v>5.9439999999999955</v>
      </c>
      <c r="P17" s="48">
        <f t="shared" si="2"/>
        <v>1.2299686617402406</v>
      </c>
      <c r="Q17" s="45">
        <f t="shared" si="3"/>
        <v>5.602999999999998</v>
      </c>
      <c r="R17" s="48">
        <f t="shared" si="5"/>
        <v>1.2139529555521613</v>
      </c>
      <c r="S17" s="9"/>
    </row>
    <row r="18" spans="1:19" x14ac:dyDescent="0.25">
      <c r="A18" s="12"/>
      <c r="B18" s="30" t="s">
        <v>51</v>
      </c>
      <c r="C18" s="61">
        <f t="shared" ref="C18:E18" si="18">C19+C20+C21</f>
        <v>778.96299999999997</v>
      </c>
      <c r="D18" s="61">
        <f t="shared" si="18"/>
        <v>780.56799999999998</v>
      </c>
      <c r="E18" s="61">
        <f t="shared" si="18"/>
        <v>207.79600000000002</v>
      </c>
      <c r="F18" s="61">
        <f>F19+F20+F21</f>
        <v>214.90900000000002</v>
      </c>
      <c r="G18" s="61">
        <f t="shared" ref="G18:L18" si="19">G19+G20+G21</f>
        <v>211.5</v>
      </c>
      <c r="H18" s="61">
        <f t="shared" si="19"/>
        <v>196.55500000000001</v>
      </c>
      <c r="I18" s="61">
        <f t="shared" si="19"/>
        <v>211.5</v>
      </c>
      <c r="J18" s="61">
        <f t="shared" si="19"/>
        <v>185.17299999999997</v>
      </c>
      <c r="K18" s="97">
        <f t="shared" si="19"/>
        <v>209.59699999999998</v>
      </c>
      <c r="L18" s="97">
        <f t="shared" si="19"/>
        <v>187.13499999999999</v>
      </c>
      <c r="M18" s="67">
        <f t="shared" si="16"/>
        <v>840.39300000000003</v>
      </c>
      <c r="N18" s="67">
        <f t="shared" si="17"/>
        <v>783.77200000000005</v>
      </c>
      <c r="O18" s="45">
        <f t="shared" si="1"/>
        <v>-56.620999999999981</v>
      </c>
      <c r="P18" s="48">
        <f t="shared" si="2"/>
        <v>0.93262556922773043</v>
      </c>
      <c r="Q18" s="45">
        <f t="shared" si="3"/>
        <v>3.2040000000000646</v>
      </c>
      <c r="R18" s="48">
        <f t="shared" si="5"/>
        <v>1.0041047032417421</v>
      </c>
      <c r="S18" s="9"/>
    </row>
    <row r="19" spans="1:19" x14ac:dyDescent="0.25">
      <c r="A19" s="12"/>
      <c r="B19" s="30" t="s">
        <v>73</v>
      </c>
      <c r="C19" s="63">
        <v>408.63</v>
      </c>
      <c r="D19" s="63">
        <v>394.05</v>
      </c>
      <c r="E19" s="64">
        <v>99.5</v>
      </c>
      <c r="F19" s="61">
        <f>64.627+36.765</f>
        <v>101.392</v>
      </c>
      <c r="G19" s="61">
        <v>101.3</v>
      </c>
      <c r="H19" s="61">
        <f>120.821-101.392+70.396</f>
        <v>89.825000000000003</v>
      </c>
      <c r="I19" s="61">
        <v>101.3</v>
      </c>
      <c r="J19" s="61">
        <f>178.294+104.405-191.217</f>
        <v>91.481999999999999</v>
      </c>
      <c r="K19" s="98">
        <f>0.4+100.997</f>
        <v>101.39700000000001</v>
      </c>
      <c r="L19" s="62">
        <f>237.597+139.891-282.699</f>
        <v>94.788999999999987</v>
      </c>
      <c r="M19" s="67">
        <f t="shared" si="16"/>
        <v>403.49700000000001</v>
      </c>
      <c r="N19" s="67">
        <f t="shared" si="17"/>
        <v>377.48799999999994</v>
      </c>
      <c r="O19" s="45">
        <f t="shared" si="1"/>
        <v>-26.009000000000071</v>
      </c>
      <c r="P19" s="48">
        <f t="shared" si="2"/>
        <v>0.93554103252316601</v>
      </c>
      <c r="Q19" s="45">
        <f t="shared" si="3"/>
        <v>-16.562000000000069</v>
      </c>
      <c r="R19" s="48">
        <f t="shared" si="5"/>
        <v>0.95796980078670202</v>
      </c>
      <c r="S19" s="9"/>
    </row>
    <row r="20" spans="1:19" x14ac:dyDescent="0.25">
      <c r="A20" s="12"/>
      <c r="B20" s="30" t="s">
        <v>74</v>
      </c>
      <c r="C20" s="63">
        <v>249.43700000000001</v>
      </c>
      <c r="D20" s="63">
        <v>277.08800000000002</v>
      </c>
      <c r="E20" s="64">
        <v>80.153000000000006</v>
      </c>
      <c r="F20" s="61">
        <v>86.802000000000007</v>
      </c>
      <c r="G20" s="61">
        <v>81.5</v>
      </c>
      <c r="H20" s="61">
        <f>161.567-86.802</f>
        <v>74.765000000000001</v>
      </c>
      <c r="I20" s="61">
        <v>81.5</v>
      </c>
      <c r="J20" s="61">
        <f>226.956-161.567</f>
        <v>65.388999999999982</v>
      </c>
      <c r="K20" s="98">
        <v>80</v>
      </c>
      <c r="L20" s="62">
        <f>290.354-226.956</f>
        <v>63.397999999999996</v>
      </c>
      <c r="M20" s="67">
        <f t="shared" si="16"/>
        <v>323.15300000000002</v>
      </c>
      <c r="N20" s="67">
        <f t="shared" si="17"/>
        <v>290.35399999999998</v>
      </c>
      <c r="O20" s="45">
        <f t="shared" si="1"/>
        <v>-32.799000000000035</v>
      </c>
      <c r="P20" s="48">
        <f t="shared" si="2"/>
        <v>0.89850318579743949</v>
      </c>
      <c r="Q20" s="45">
        <f t="shared" si="3"/>
        <v>13.265999999999963</v>
      </c>
      <c r="R20" s="48">
        <f t="shared" si="5"/>
        <v>1.0478764868922508</v>
      </c>
      <c r="S20" s="9"/>
    </row>
    <row r="21" spans="1:19" x14ac:dyDescent="0.25">
      <c r="A21" s="12"/>
      <c r="B21" s="30" t="s">
        <v>82</v>
      </c>
      <c r="C21" s="63">
        <v>120.896</v>
      </c>
      <c r="D21" s="63">
        <v>109.43</v>
      </c>
      <c r="E21" s="64">
        <f>27.4+0.743</f>
        <v>28.142999999999997</v>
      </c>
      <c r="F21" s="61">
        <v>26.715</v>
      </c>
      <c r="G21" s="61">
        <v>28.7</v>
      </c>
      <c r="H21" s="61">
        <f>58.68-26.715</f>
        <v>31.965</v>
      </c>
      <c r="I21" s="61">
        <v>28.7</v>
      </c>
      <c r="J21" s="61">
        <f>86.982-58.68</f>
        <v>28.302</v>
      </c>
      <c r="K21" s="98">
        <v>28.2</v>
      </c>
      <c r="L21" s="62">
        <f>115.93-89.982+3</f>
        <v>28.948000000000008</v>
      </c>
      <c r="M21" s="67">
        <f t="shared" si="16"/>
        <v>113.74299999999999</v>
      </c>
      <c r="N21" s="67">
        <f t="shared" si="17"/>
        <v>115.93</v>
      </c>
      <c r="O21" s="45">
        <f t="shared" si="1"/>
        <v>2.1870000000000118</v>
      </c>
      <c r="P21" s="48">
        <f t="shared" si="2"/>
        <v>1.0192275568606421</v>
      </c>
      <c r="Q21" s="45">
        <f t="shared" si="3"/>
        <v>6.5</v>
      </c>
      <c r="R21" s="48">
        <f t="shared" si="5"/>
        <v>1.0593987023668099</v>
      </c>
      <c r="S21" s="9"/>
    </row>
    <row r="22" spans="1:19" x14ac:dyDescent="0.25">
      <c r="A22" s="12"/>
      <c r="B22" s="30" t="s">
        <v>52</v>
      </c>
      <c r="C22" s="63">
        <v>47.682000000000002</v>
      </c>
      <c r="D22" s="63">
        <v>41.939</v>
      </c>
      <c r="E22" s="64">
        <v>9.8979999999999997</v>
      </c>
      <c r="F22" s="61">
        <v>11.036</v>
      </c>
      <c r="G22" s="61">
        <v>11.38</v>
      </c>
      <c r="H22" s="61">
        <f>22.032-11.036</f>
        <v>10.996</v>
      </c>
      <c r="I22" s="61">
        <v>11.38</v>
      </c>
      <c r="J22" s="61">
        <f>33.093-22.032</f>
        <v>11.061000000000003</v>
      </c>
      <c r="K22" s="98">
        <v>11.38</v>
      </c>
      <c r="L22" s="62">
        <f>44.366-33.093</f>
        <v>11.272999999999996</v>
      </c>
      <c r="M22" s="67">
        <f t="shared" si="16"/>
        <v>44.038000000000004</v>
      </c>
      <c r="N22" s="67">
        <f t="shared" si="17"/>
        <v>44.366</v>
      </c>
      <c r="O22" s="45">
        <f t="shared" si="1"/>
        <v>0.32799999999999585</v>
      </c>
      <c r="P22" s="48">
        <f t="shared" si="2"/>
        <v>1.0074481129933239</v>
      </c>
      <c r="Q22" s="45">
        <f t="shared" si="3"/>
        <v>2.4269999999999996</v>
      </c>
      <c r="R22" s="48">
        <f t="shared" si="5"/>
        <v>1.0578697632275447</v>
      </c>
      <c r="S22" s="9"/>
    </row>
    <row r="23" spans="1:19" x14ac:dyDescent="0.25">
      <c r="A23" s="12"/>
      <c r="B23" s="31" t="s">
        <v>53</v>
      </c>
      <c r="C23" s="63">
        <v>5.8079999999999998</v>
      </c>
      <c r="D23" s="63">
        <v>5.9569999999999999</v>
      </c>
      <c r="E23" s="64">
        <v>1.72</v>
      </c>
      <c r="F23" s="61">
        <f>1.372</f>
        <v>1.3720000000000001</v>
      </c>
      <c r="G23" s="61">
        <v>1.7250000000000001</v>
      </c>
      <c r="H23" s="61">
        <f>1.805-1.372</f>
        <v>0.43299999999999983</v>
      </c>
      <c r="I23" s="61">
        <v>1.72</v>
      </c>
      <c r="J23" s="61">
        <f>3.14-1.805</f>
        <v>1.3350000000000002</v>
      </c>
      <c r="K23" s="98">
        <v>1.7250000000000001</v>
      </c>
      <c r="L23" s="62">
        <f>3.783-3.14</f>
        <v>0.64299999999999979</v>
      </c>
      <c r="M23" s="67">
        <f t="shared" si="16"/>
        <v>6.8900000000000006</v>
      </c>
      <c r="N23" s="67">
        <f t="shared" si="17"/>
        <v>3.7829999999999999</v>
      </c>
      <c r="O23" s="91">
        <f>N23-M23</f>
        <v>-3.1070000000000007</v>
      </c>
      <c r="P23" s="48">
        <f t="shared" si="2"/>
        <v>0.54905660377358489</v>
      </c>
      <c r="Q23" s="45">
        <f t="shared" si="3"/>
        <v>-2.1739999999999999</v>
      </c>
      <c r="R23" s="48">
        <f>N23/D23</f>
        <v>0.63505120026859152</v>
      </c>
      <c r="S23" s="9"/>
    </row>
    <row r="24" spans="1:19" x14ac:dyDescent="0.25">
      <c r="A24" s="12"/>
      <c r="B24" s="31" t="s">
        <v>70</v>
      </c>
      <c r="C24" s="63">
        <v>3.1829999999999998</v>
      </c>
      <c r="D24" s="63">
        <v>1.1879999999999999</v>
      </c>
      <c r="E24" s="64">
        <v>0.31</v>
      </c>
      <c r="F24" s="79">
        <f>0.485</f>
        <v>0.48499999999999999</v>
      </c>
      <c r="G24" s="79">
        <v>0.31</v>
      </c>
      <c r="H24" s="79">
        <f>0.749-0.485+0.19</f>
        <v>0.45400000000000001</v>
      </c>
      <c r="I24" s="79">
        <v>0.31</v>
      </c>
      <c r="J24" s="79">
        <f>1.122-0.939</f>
        <v>0.18300000000000016</v>
      </c>
      <c r="K24" s="98">
        <v>0.31</v>
      </c>
      <c r="L24" s="65">
        <f>1.306-1.122</f>
        <v>0.18399999999999994</v>
      </c>
      <c r="M24" s="67">
        <f t="shared" si="16"/>
        <v>1.24</v>
      </c>
      <c r="N24" s="67">
        <f t="shared" si="17"/>
        <v>1.3060000000000003</v>
      </c>
      <c r="O24" s="45">
        <f t="shared" si="1"/>
        <v>6.6000000000000281E-2</v>
      </c>
      <c r="P24" s="48">
        <f t="shared" si="2"/>
        <v>1.0532258064516131</v>
      </c>
      <c r="Q24" s="45">
        <f t="shared" si="3"/>
        <v>0.11800000000000033</v>
      </c>
      <c r="R24" s="48">
        <f t="shared" si="5"/>
        <v>1.0993265993265997</v>
      </c>
      <c r="S24" s="9"/>
    </row>
    <row r="25" spans="1:19" x14ac:dyDescent="0.25">
      <c r="A25" s="12"/>
      <c r="B25" s="32" t="s">
        <v>55</v>
      </c>
      <c r="C25" s="61">
        <f t="shared" ref="C25:E25" si="20">C26+C27+C28</f>
        <v>19.940000000000001</v>
      </c>
      <c r="D25" s="61">
        <f t="shared" si="20"/>
        <v>18.664999999999999</v>
      </c>
      <c r="E25" s="66">
        <f t="shared" si="20"/>
        <v>2.15</v>
      </c>
      <c r="F25" s="61">
        <f t="shared" ref="F25:M25" si="21">F26+F27+F28</f>
        <v>2.839</v>
      </c>
      <c r="G25" s="61">
        <f t="shared" si="21"/>
        <v>2.15</v>
      </c>
      <c r="H25" s="61">
        <f t="shared" si="21"/>
        <v>1.1619999999999999</v>
      </c>
      <c r="I25" s="61">
        <f t="shared" si="21"/>
        <v>2.15</v>
      </c>
      <c r="J25" s="61">
        <f t="shared" si="21"/>
        <v>2.2759999999999998</v>
      </c>
      <c r="K25" s="62">
        <f>K26+K27+K28+K29</f>
        <v>2.15</v>
      </c>
      <c r="L25" s="62">
        <f>L26+L27+L28+L29</f>
        <v>21.178000000000001</v>
      </c>
      <c r="M25" s="67">
        <f t="shared" si="21"/>
        <v>8.6</v>
      </c>
      <c r="N25" s="67">
        <f>N27+N28+N29</f>
        <v>27.454999999999998</v>
      </c>
      <c r="O25" s="45">
        <f t="shared" si="1"/>
        <v>18.854999999999997</v>
      </c>
      <c r="P25" s="48">
        <f t="shared" si="2"/>
        <v>3.1924418604651161</v>
      </c>
      <c r="Q25" s="45">
        <f t="shared" si="3"/>
        <v>8.7899999999999991</v>
      </c>
      <c r="R25" s="48">
        <f t="shared" si="5"/>
        <v>1.4709349049022233</v>
      </c>
    </row>
    <row r="26" spans="1:19" x14ac:dyDescent="0.25">
      <c r="A26" s="12"/>
      <c r="B26" s="31" t="s">
        <v>69</v>
      </c>
      <c r="C26" s="63"/>
      <c r="D26" s="63"/>
      <c r="E26" s="64"/>
      <c r="F26" s="61"/>
      <c r="G26" s="61"/>
      <c r="H26" s="61"/>
      <c r="I26" s="61"/>
      <c r="J26" s="61"/>
      <c r="K26" s="98"/>
      <c r="L26" s="62"/>
      <c r="M26" s="67"/>
      <c r="N26" s="52"/>
      <c r="O26" s="45">
        <f t="shared" si="1"/>
        <v>0</v>
      </c>
      <c r="P26" s="48"/>
      <c r="Q26" s="45">
        <f t="shared" si="3"/>
        <v>0</v>
      </c>
      <c r="R26" s="48"/>
    </row>
    <row r="27" spans="1:19" x14ac:dyDescent="0.25">
      <c r="A27" s="12"/>
      <c r="B27" s="31" t="s">
        <v>54</v>
      </c>
      <c r="C27" s="63">
        <v>19.721</v>
      </c>
      <c r="D27" s="63">
        <v>14.454000000000001</v>
      </c>
      <c r="E27" s="61">
        <v>2.15</v>
      </c>
      <c r="F27" s="61">
        <v>2.649</v>
      </c>
      <c r="G27" s="61">
        <v>2.15</v>
      </c>
      <c r="H27" s="61">
        <f>3.811-2.649</f>
        <v>1.1619999999999999</v>
      </c>
      <c r="I27" s="61">
        <v>2.15</v>
      </c>
      <c r="J27" s="61">
        <f>6.087-3.811</f>
        <v>2.2759999999999998</v>
      </c>
      <c r="K27" s="62">
        <v>2.15</v>
      </c>
      <c r="L27" s="62">
        <f>8.023-6.087</f>
        <v>1.9359999999999999</v>
      </c>
      <c r="M27" s="67">
        <f>E27+G27+I27+K27</f>
        <v>8.6</v>
      </c>
      <c r="N27" s="67">
        <f>F27+H27+J27+L27</f>
        <v>8.0229999999999997</v>
      </c>
      <c r="O27" s="45">
        <f t="shared" si="1"/>
        <v>-0.57699999999999996</v>
      </c>
      <c r="P27" s="48">
        <f t="shared" si="2"/>
        <v>0.9329069767441861</v>
      </c>
      <c r="Q27" s="45">
        <f t="shared" si="3"/>
        <v>-6.4310000000000009</v>
      </c>
      <c r="R27" s="48">
        <f t="shared" si="5"/>
        <v>0.55507126055071254</v>
      </c>
    </row>
    <row r="28" spans="1:19" x14ac:dyDescent="0.25">
      <c r="A28" s="12"/>
      <c r="B28" s="31" t="s">
        <v>93</v>
      </c>
      <c r="C28" s="63">
        <v>0.219</v>
      </c>
      <c r="D28" s="63">
        <v>4.2110000000000003</v>
      </c>
      <c r="E28" s="64">
        <v>0</v>
      </c>
      <c r="F28" s="61">
        <v>0.19</v>
      </c>
      <c r="G28" s="61"/>
      <c r="H28" s="61"/>
      <c r="I28" s="61"/>
      <c r="J28" s="61">
        <v>0</v>
      </c>
      <c r="K28" s="98">
        <v>0</v>
      </c>
      <c r="L28" s="62">
        <v>0.30499999999999999</v>
      </c>
      <c r="M28" s="67">
        <f t="shared" ref="M28:M29" si="22">E28+G28+I28</f>
        <v>0</v>
      </c>
      <c r="N28" s="67">
        <f t="shared" ref="N28:N29" si="23">F28+H28+J28+L28</f>
        <v>0.495</v>
      </c>
      <c r="O28" s="45">
        <f t="shared" si="1"/>
        <v>0.495</v>
      </c>
      <c r="P28" s="95"/>
      <c r="Q28" s="45">
        <f t="shared" si="3"/>
        <v>-3.7160000000000002</v>
      </c>
      <c r="R28" s="48">
        <f t="shared" si="5"/>
        <v>0.11754927570648301</v>
      </c>
    </row>
    <row r="29" spans="1:19" x14ac:dyDescent="0.25">
      <c r="A29" s="13"/>
      <c r="B29" s="31" t="s">
        <v>120</v>
      </c>
      <c r="C29" s="63"/>
      <c r="D29" s="63"/>
      <c r="E29" s="64">
        <v>0</v>
      </c>
      <c r="F29" s="61">
        <v>0</v>
      </c>
      <c r="G29" s="61"/>
      <c r="H29" s="61"/>
      <c r="I29" s="61"/>
      <c r="J29" s="61"/>
      <c r="K29" s="98">
        <v>0</v>
      </c>
      <c r="L29" s="62">
        <v>18.937000000000001</v>
      </c>
      <c r="M29" s="67">
        <f t="shared" si="22"/>
        <v>0</v>
      </c>
      <c r="N29" s="67">
        <f t="shared" si="23"/>
        <v>18.937000000000001</v>
      </c>
      <c r="O29" s="45">
        <f t="shared" si="1"/>
        <v>18.937000000000001</v>
      </c>
      <c r="P29" s="48"/>
      <c r="Q29" s="45">
        <f t="shared" si="3"/>
        <v>18.937000000000001</v>
      </c>
      <c r="R29" s="48"/>
    </row>
    <row r="30" spans="1:19" ht="30" customHeight="1" x14ac:dyDescent="0.3">
      <c r="A30" s="11" t="s">
        <v>13</v>
      </c>
      <c r="B30" s="28" t="s">
        <v>112</v>
      </c>
      <c r="C30" s="58">
        <f>C31+C37+C53+C61+C71+C76+C83+C87+C88+C90+C93+C99+C86</f>
        <v>1032.2359999999999</v>
      </c>
      <c r="D30" s="58">
        <f>D31+D37+D53+D61+D71+D76+D83+D87+D88+D90+D93+D98+D99+D86</f>
        <v>1039.5889999999999</v>
      </c>
      <c r="E30" s="58">
        <f>E31+E37+E53+E61+E71+E76+E83+E86+E87+E90+E93+E98+E88</f>
        <v>268.97774999999996</v>
      </c>
      <c r="F30" s="58">
        <f>F31+F37+F53+F61+F71+F76+F83+F86+F87+F89+F90+F93+F99+F88</f>
        <v>273.15199999999999</v>
      </c>
      <c r="G30" s="58">
        <f t="shared" ref="G30:I30" si="24">G31+G37+G53+G61+G71+G76+G83+G86+G87+G89+G90+G93+G99+G88</f>
        <v>280.38199999999995</v>
      </c>
      <c r="H30" s="58">
        <f t="shared" si="24"/>
        <v>255.72200000000001</v>
      </c>
      <c r="I30" s="58">
        <f t="shared" si="24"/>
        <v>281.327</v>
      </c>
      <c r="J30" s="58">
        <f>J31+J37+J53+J61+J71+J76+J83+J86+J87+J89+J90+J93+J99+J88</f>
        <v>250.80699999999996</v>
      </c>
      <c r="K30" s="59">
        <f>K31+K37+K53+K61+K71+K76+K83+K86+K87+K90+K94+K99+K88</f>
        <v>272.72300000000007</v>
      </c>
      <c r="L30" s="59">
        <f>L31+L37+L53+L61+L71+L76+L83+L86+L87+L89+L90+L93+L99+L88</f>
        <v>265.11299999999994</v>
      </c>
      <c r="M30" s="60">
        <f>M31+M37+M53+M61+M71+M76+M83+M86+M87+M90+M93+M99+M88</f>
        <v>1103.40975</v>
      </c>
      <c r="N30" s="60">
        <f>N31+N37+N53+N61+N71+N76+N83+N86+N87+N90+N93+N99+N88</f>
        <v>1044.7939999999999</v>
      </c>
      <c r="O30" s="91">
        <f t="shared" si="1"/>
        <v>-58.615750000000162</v>
      </c>
      <c r="P30" s="48">
        <f t="shared" si="2"/>
        <v>0.94687762184446878</v>
      </c>
      <c r="Q30" s="45">
        <f t="shared" si="3"/>
        <v>5.2049999999999272</v>
      </c>
      <c r="R30" s="48">
        <f t="shared" si="5"/>
        <v>1.0050067863357537</v>
      </c>
    </row>
    <row r="31" spans="1:19" ht="13" x14ac:dyDescent="0.3">
      <c r="A31" s="11"/>
      <c r="B31" s="28"/>
      <c r="C31" s="58">
        <f>C32+C34+C35+C36</f>
        <v>222.92599999999999</v>
      </c>
      <c r="D31" s="58">
        <f t="shared" ref="D31" si="25">D32+D34+D35+D36</f>
        <v>239.43899999999999</v>
      </c>
      <c r="E31" s="58">
        <f t="shared" ref="E31" si="26">SUM(E32:E36)-E33</f>
        <v>57.478999999999999</v>
      </c>
      <c r="F31" s="58">
        <f>SUM(F32:F36)-F33</f>
        <v>51.317999999999998</v>
      </c>
      <c r="G31" s="58">
        <f>SUM(G32:G36)-G33</f>
        <v>73.174999999999997</v>
      </c>
      <c r="H31" s="58">
        <f>SUM(H32:H36)-H33</f>
        <v>58.010000000000005</v>
      </c>
      <c r="I31" s="58">
        <f t="shared" ref="I31:L31" si="27">SUM(I32:I36)-I33</f>
        <v>68.224000000000004</v>
      </c>
      <c r="J31" s="58">
        <f t="shared" si="27"/>
        <v>58.455000000000005</v>
      </c>
      <c r="K31" s="59">
        <f t="shared" si="27"/>
        <v>68.13900000000001</v>
      </c>
      <c r="L31" s="59">
        <f t="shared" si="27"/>
        <v>63.316000000000003</v>
      </c>
      <c r="M31" s="60">
        <f>SUM(M32:M36)-M33</f>
        <v>267.017</v>
      </c>
      <c r="N31" s="60">
        <f>SUM(N32:N36)-N33</f>
        <v>231.09899999999999</v>
      </c>
      <c r="O31" s="45">
        <f t="shared" si="1"/>
        <v>-35.918000000000006</v>
      </c>
      <c r="P31" s="48">
        <f t="shared" si="2"/>
        <v>0.86548422010583592</v>
      </c>
      <c r="Q31" s="45">
        <f t="shared" si="3"/>
        <v>-8.3400000000000034</v>
      </c>
      <c r="R31" s="48">
        <f t="shared" si="5"/>
        <v>0.96516858155939511</v>
      </c>
    </row>
    <row r="32" spans="1:19" x14ac:dyDescent="0.25">
      <c r="A32" s="13"/>
      <c r="B32" s="33" t="s">
        <v>77</v>
      </c>
      <c r="C32" s="63">
        <v>177.93899999999999</v>
      </c>
      <c r="D32" s="63">
        <v>190.97900000000001</v>
      </c>
      <c r="E32" s="64">
        <v>46.5</v>
      </c>
      <c r="F32" s="71">
        <f>33.073-6.015+14.414</f>
        <v>41.472000000000001</v>
      </c>
      <c r="G32" s="71">
        <v>55.551000000000002</v>
      </c>
      <c r="H32" s="71">
        <f>64.718+29.545-41.472-8.81</f>
        <v>43.981000000000002</v>
      </c>
      <c r="I32" s="71">
        <v>55.182000000000002</v>
      </c>
      <c r="J32" s="71">
        <f>88.22+44.478-85.453</f>
        <v>47.245000000000005</v>
      </c>
      <c r="K32" s="98">
        <f>6.407+45.365+0.34+3+0.001</f>
        <v>55.113000000000007</v>
      </c>
      <c r="L32" s="68">
        <f>119.876+64.025-132.698</f>
        <v>51.203000000000003</v>
      </c>
      <c r="M32" s="60">
        <f>E32+G32+I32+K32</f>
        <v>212.346</v>
      </c>
      <c r="N32" s="60">
        <f>F32+H32+J32+L32</f>
        <v>183.90100000000001</v>
      </c>
      <c r="O32" s="45">
        <f t="shared" si="1"/>
        <v>-28.444999999999993</v>
      </c>
      <c r="P32" s="48">
        <f t="shared" si="2"/>
        <v>0.86604409784031722</v>
      </c>
      <c r="Q32" s="45">
        <f t="shared" si="3"/>
        <v>-7.078000000000003</v>
      </c>
      <c r="R32" s="48">
        <f t="shared" si="5"/>
        <v>0.96293833353405345</v>
      </c>
    </row>
    <row r="33" spans="1:21" x14ac:dyDescent="0.25">
      <c r="A33" s="13"/>
      <c r="B33" s="33" t="s">
        <v>121</v>
      </c>
      <c r="C33" s="63">
        <v>10.516999999999999</v>
      </c>
      <c r="D33" s="63">
        <v>5.0110000000000001</v>
      </c>
      <c r="E33" s="64">
        <v>0</v>
      </c>
      <c r="F33" s="70"/>
      <c r="G33" s="70">
        <v>7.2</v>
      </c>
      <c r="H33" s="70"/>
      <c r="I33" s="70"/>
      <c r="J33" s="70"/>
      <c r="K33" s="98">
        <f>-0.09+5.714+0.036+0.061+1.314</f>
        <v>7.0350000000000001</v>
      </c>
      <c r="L33" s="69">
        <v>8.7970000000000006</v>
      </c>
      <c r="M33" s="60">
        <f>E33+G33+I33+K33</f>
        <v>14.234999999999999</v>
      </c>
      <c r="N33" s="60">
        <f t="shared" ref="N33:N36" si="28">F33+H33+J33+L33</f>
        <v>8.7970000000000006</v>
      </c>
      <c r="O33" s="45">
        <f t="shared" si="1"/>
        <v>-5.4379999999999988</v>
      </c>
      <c r="P33" s="48"/>
      <c r="Q33" s="45">
        <f t="shared" si="3"/>
        <v>3.7860000000000005</v>
      </c>
      <c r="R33" s="48">
        <f t="shared" si="5"/>
        <v>1.7555378168030333</v>
      </c>
    </row>
    <row r="34" spans="1:21" ht="19" customHeight="1" x14ac:dyDescent="0.25">
      <c r="A34" s="13"/>
      <c r="B34" s="33" t="s">
        <v>1</v>
      </c>
      <c r="C34" s="63">
        <v>41.781999999999996</v>
      </c>
      <c r="D34" s="63">
        <v>44.945</v>
      </c>
      <c r="E34" s="64">
        <v>10.946999999999999</v>
      </c>
      <c r="F34" s="70">
        <f>7.945-1.449+3.315</f>
        <v>9.8109999999999999</v>
      </c>
      <c r="G34" s="70">
        <v>13.090999999999999</v>
      </c>
      <c r="H34" s="70">
        <f>15.545+6.802-9.811-1.449-0.673</f>
        <v>10.414000000000001</v>
      </c>
      <c r="I34" s="70">
        <v>13.01</v>
      </c>
      <c r="J34" s="70">
        <f>21.148+10.242-20.225</f>
        <v>11.164999999999999</v>
      </c>
      <c r="K34" s="99">
        <f>12.271+0.722</f>
        <v>12.993</v>
      </c>
      <c r="L34" s="69">
        <f>28.714+14.756-31.39</f>
        <v>12.079999999999998</v>
      </c>
      <c r="M34" s="60">
        <f t="shared" ref="M34:M36" si="29">E34+G34+I34+K34</f>
        <v>50.040999999999997</v>
      </c>
      <c r="N34" s="60">
        <f>F34+H34+J34+L34</f>
        <v>43.47</v>
      </c>
      <c r="O34" s="45">
        <f t="shared" si="1"/>
        <v>-6.570999999999998</v>
      </c>
      <c r="P34" s="48">
        <f t="shared" si="2"/>
        <v>0.8686876761055935</v>
      </c>
      <c r="Q34" s="45">
        <f t="shared" si="3"/>
        <v>-1.4750000000000014</v>
      </c>
      <c r="R34" s="94">
        <f t="shared" si="5"/>
        <v>0.96718211146957389</v>
      </c>
    </row>
    <row r="35" spans="1:21" ht="31.5" x14ac:dyDescent="0.25">
      <c r="A35" s="13"/>
      <c r="B35" s="33" t="s">
        <v>2</v>
      </c>
      <c r="C35" s="63">
        <v>3.0710000000000002</v>
      </c>
      <c r="D35" s="63">
        <v>3.38</v>
      </c>
      <c r="E35" s="64"/>
      <c r="F35" s="70"/>
      <c r="G35" s="70">
        <v>4.5</v>
      </c>
      <c r="H35" s="70">
        <v>3.5939999999999999</v>
      </c>
      <c r="I35" s="70">
        <v>0</v>
      </c>
      <c r="J35" s="70">
        <v>0</v>
      </c>
      <c r="K35" s="98"/>
      <c r="L35" s="69"/>
      <c r="M35" s="60">
        <f t="shared" si="29"/>
        <v>4.5</v>
      </c>
      <c r="N35" s="60">
        <f t="shared" si="28"/>
        <v>3.5939999999999999</v>
      </c>
      <c r="O35" s="45">
        <f t="shared" si="1"/>
        <v>-0.90600000000000014</v>
      </c>
      <c r="P35" s="48"/>
      <c r="Q35" s="45">
        <f t="shared" si="3"/>
        <v>0.21399999999999997</v>
      </c>
      <c r="R35" s="47"/>
    </row>
    <row r="36" spans="1:21" x14ac:dyDescent="0.25">
      <c r="A36" s="13"/>
      <c r="B36" s="33" t="s">
        <v>42</v>
      </c>
      <c r="C36" s="63">
        <v>0.13400000000000001</v>
      </c>
      <c r="D36" s="63">
        <v>0.13500000000000001</v>
      </c>
      <c r="E36" s="64">
        <v>3.2000000000000001E-2</v>
      </c>
      <c r="F36" s="70">
        <f>0.029+0.006</f>
        <v>3.5000000000000003E-2</v>
      </c>
      <c r="G36" s="70">
        <v>3.3000000000000002E-2</v>
      </c>
      <c r="H36" s="70">
        <f>0.045+0.011-0.035</f>
        <v>2.0999999999999991E-2</v>
      </c>
      <c r="I36" s="70">
        <v>3.2000000000000001E-2</v>
      </c>
      <c r="J36" s="70">
        <f>0.082+0.019-0.056</f>
        <v>4.5000000000000005E-2</v>
      </c>
      <c r="K36" s="98">
        <v>3.3000000000000002E-2</v>
      </c>
      <c r="L36" s="69">
        <f>0.108+0.026-0.101</f>
        <v>3.3000000000000002E-2</v>
      </c>
      <c r="M36" s="60">
        <f t="shared" si="29"/>
        <v>0.13</v>
      </c>
      <c r="N36" s="60">
        <f t="shared" si="28"/>
        <v>0.13400000000000001</v>
      </c>
      <c r="O36" s="45">
        <f t="shared" si="1"/>
        <v>4.0000000000000036E-3</v>
      </c>
      <c r="P36" s="48">
        <f t="shared" si="2"/>
        <v>1.0307692307692309</v>
      </c>
      <c r="Q36" s="45">
        <f t="shared" si="3"/>
        <v>-1.0000000000000009E-3</v>
      </c>
      <c r="R36" s="48">
        <f t="shared" si="5"/>
        <v>0.99259259259259258</v>
      </c>
    </row>
    <row r="37" spans="1:21" x14ac:dyDescent="0.25">
      <c r="A37" s="13"/>
      <c r="B37" s="34" t="s">
        <v>21</v>
      </c>
      <c r="C37" s="58">
        <f>C38+C39+C40+C41+C42+C44+C45+C46+C47+C48+C49+C50+C51+C52</f>
        <v>653.84899999999993</v>
      </c>
      <c r="D37" s="58">
        <f>D38+D39+D40+D41+D42+D44+D45+D46+D47+D48+D49+D50+D51+D52</f>
        <v>662.51</v>
      </c>
      <c r="E37" s="58">
        <f t="shared" ref="E37" si="30">SUM(E38:E52)</f>
        <v>179.86174999999994</v>
      </c>
      <c r="F37" s="58">
        <f>SUM(F38:F52)</f>
        <v>185.03900000000004</v>
      </c>
      <c r="G37" s="58">
        <f t="shared" ref="G37:J37" si="31">SUM(G38:G52)</f>
        <v>175.39699999999999</v>
      </c>
      <c r="H37" s="58">
        <f t="shared" si="31"/>
        <v>161.26399999999998</v>
      </c>
      <c r="I37" s="58">
        <f t="shared" si="31"/>
        <v>173.23800000000003</v>
      </c>
      <c r="J37" s="58">
        <f t="shared" si="31"/>
        <v>152.38199999999995</v>
      </c>
      <c r="K37" s="59">
        <f>SUM(K38:K52)</f>
        <v>174.6</v>
      </c>
      <c r="L37" s="59">
        <f t="shared" ref="L37" si="32">SUM(L38:L52)</f>
        <v>155.685</v>
      </c>
      <c r="M37" s="60">
        <f t="shared" ref="M37:M97" si="33">E37+G37+I37+K37</f>
        <v>703.09675000000004</v>
      </c>
      <c r="N37" s="60">
        <f>SUM(N38:N52)</f>
        <v>654.36999999999989</v>
      </c>
      <c r="O37" s="91">
        <f t="shared" si="1"/>
        <v>-48.726750000000152</v>
      </c>
      <c r="P37" s="48">
        <f t="shared" si="2"/>
        <v>0.93069694889074628</v>
      </c>
      <c r="Q37" s="45">
        <f t="shared" si="3"/>
        <v>-8.1400000000001</v>
      </c>
      <c r="R37" s="48">
        <f t="shared" si="5"/>
        <v>0.98771339300538841</v>
      </c>
    </row>
    <row r="38" spans="1:21" x14ac:dyDescent="0.25">
      <c r="A38" s="13"/>
      <c r="B38" s="33" t="s">
        <v>45</v>
      </c>
      <c r="C38" s="61">
        <v>27.314</v>
      </c>
      <c r="D38" s="61">
        <v>26.82</v>
      </c>
      <c r="E38" s="58">
        <v>8.7550000000000008</v>
      </c>
      <c r="F38" s="70">
        <v>8.6340000000000003</v>
      </c>
      <c r="G38" s="70">
        <v>4.5030000000000001</v>
      </c>
      <c r="H38" s="70">
        <f>10.675-8.634</f>
        <v>2.0410000000000004</v>
      </c>
      <c r="I38" s="70">
        <v>4.2160000000000002</v>
      </c>
      <c r="J38" s="70">
        <f>13.329-10.675</f>
        <v>2.6539999999999999</v>
      </c>
      <c r="K38" s="96">
        <v>7.1710000000000003</v>
      </c>
      <c r="L38" s="69">
        <f>17.424-13.329</f>
        <v>4.0949999999999989</v>
      </c>
      <c r="M38" s="60">
        <f t="shared" si="33"/>
        <v>24.645</v>
      </c>
      <c r="N38" s="67">
        <f>F38+H38+J38+L38</f>
        <v>17.423999999999999</v>
      </c>
      <c r="O38" s="45">
        <f t="shared" si="1"/>
        <v>-7.2210000000000001</v>
      </c>
      <c r="P38" s="48">
        <f t="shared" si="2"/>
        <v>0.7069993913572733</v>
      </c>
      <c r="Q38" s="45">
        <f t="shared" si="3"/>
        <v>-9.3960000000000008</v>
      </c>
      <c r="R38" s="48">
        <f t="shared" si="5"/>
        <v>0.64966442953020132</v>
      </c>
    </row>
    <row r="39" spans="1:21" x14ac:dyDescent="0.25">
      <c r="A39" s="13"/>
      <c r="B39" s="33" t="s">
        <v>22</v>
      </c>
      <c r="C39" s="61">
        <v>105.755</v>
      </c>
      <c r="D39" s="61">
        <v>105.465</v>
      </c>
      <c r="E39" s="58">
        <v>25.5</v>
      </c>
      <c r="F39" s="70">
        <f>25.071+0.051</f>
        <v>25.122</v>
      </c>
      <c r="G39" s="70">
        <v>27.347999999999999</v>
      </c>
      <c r="H39" s="70">
        <f>49.932-25.122+0.051</f>
        <v>24.861000000000001</v>
      </c>
      <c r="I39" s="70">
        <v>26.602</v>
      </c>
      <c r="J39" s="70">
        <f>75.489-49.983</f>
        <v>25.506000000000007</v>
      </c>
      <c r="K39" s="96">
        <f>27.206-1.448</f>
        <v>25.757999999999999</v>
      </c>
      <c r="L39" s="69">
        <f>98.58-75.489</f>
        <v>23.090999999999994</v>
      </c>
      <c r="M39" s="60">
        <f t="shared" si="33"/>
        <v>105.208</v>
      </c>
      <c r="N39" s="67">
        <f t="shared" ref="N39:N52" si="34">F39+H39+J39+L39</f>
        <v>98.58</v>
      </c>
      <c r="O39" s="45">
        <f t="shared" si="1"/>
        <v>-6.6280000000000001</v>
      </c>
      <c r="P39" s="48">
        <f t="shared" si="2"/>
        <v>0.93700098851798341</v>
      </c>
      <c r="Q39" s="45">
        <f t="shared" si="3"/>
        <v>-6.8850000000000051</v>
      </c>
      <c r="R39" s="48">
        <f t="shared" si="5"/>
        <v>0.93471767885080359</v>
      </c>
    </row>
    <row r="40" spans="1:21" x14ac:dyDescent="0.25">
      <c r="A40" s="13"/>
      <c r="B40" s="33" t="s">
        <v>23</v>
      </c>
      <c r="C40" s="61">
        <v>506.50700000000001</v>
      </c>
      <c r="D40" s="61">
        <v>516.90099999999995</v>
      </c>
      <c r="E40" s="58">
        <f>139.7</f>
        <v>139.69999999999999</v>
      </c>
      <c r="F40" s="58">
        <f>85.891+22.724+38.212+0.001</f>
        <v>146.828</v>
      </c>
      <c r="G40" s="58">
        <v>137.28700000000001</v>
      </c>
      <c r="H40" s="58">
        <f>158.191-146.828+44.463+72.744</f>
        <v>128.57</v>
      </c>
      <c r="I40" s="58">
        <v>137.28700000000001</v>
      </c>
      <c r="J40" s="58">
        <f>220.617+107.811+67.02-275.398</f>
        <v>120.04999999999995</v>
      </c>
      <c r="K40" s="96">
        <f>138.539-0.636-0.7-0.7</f>
        <v>136.50300000000001</v>
      </c>
      <c r="L40" s="59">
        <f>281+89.093+143.803-395.448</f>
        <v>118.44799999999998</v>
      </c>
      <c r="M40" s="60">
        <f t="shared" si="33"/>
        <v>550.77700000000004</v>
      </c>
      <c r="N40" s="67">
        <f t="shared" si="34"/>
        <v>513.89599999999996</v>
      </c>
      <c r="O40" s="45">
        <f t="shared" si="1"/>
        <v>-36.881000000000085</v>
      </c>
      <c r="P40" s="48">
        <f t="shared" si="2"/>
        <v>0.93303823507517547</v>
      </c>
      <c r="Q40" s="45">
        <f t="shared" si="3"/>
        <v>-3.0049999999999955</v>
      </c>
      <c r="R40" s="48">
        <f t="shared" si="5"/>
        <v>0.99418650766781258</v>
      </c>
      <c r="T40" s="9"/>
      <c r="U40" s="9"/>
    </row>
    <row r="41" spans="1:21" x14ac:dyDescent="0.25">
      <c r="A41" s="13"/>
      <c r="B41" s="33" t="s">
        <v>72</v>
      </c>
      <c r="C41" s="61">
        <v>2.0910000000000002</v>
      </c>
      <c r="D41" s="61">
        <v>1.9359999999999999</v>
      </c>
      <c r="E41" s="58">
        <v>0.56000000000000005</v>
      </c>
      <c r="F41" s="71">
        <v>0.44900000000000001</v>
      </c>
      <c r="G41" s="71">
        <v>0.56000000000000005</v>
      </c>
      <c r="H41" s="71">
        <f>0.901-0.449</f>
        <v>0.45200000000000001</v>
      </c>
      <c r="I41" s="71">
        <v>0.57399999999999995</v>
      </c>
      <c r="J41" s="71">
        <f>1.376-0.901</f>
        <v>0.47499999999999987</v>
      </c>
      <c r="K41" s="96">
        <v>0.58099999999999996</v>
      </c>
      <c r="L41" s="68">
        <f>1.818-1.376</f>
        <v>0.44200000000000017</v>
      </c>
      <c r="M41" s="60">
        <f t="shared" si="33"/>
        <v>2.2749999999999999</v>
      </c>
      <c r="N41" s="67">
        <f t="shared" si="34"/>
        <v>1.8180000000000001</v>
      </c>
      <c r="O41" s="45">
        <f t="shared" si="1"/>
        <v>-0.45699999999999985</v>
      </c>
      <c r="P41" s="48">
        <f t="shared" si="2"/>
        <v>0.79912087912087915</v>
      </c>
      <c r="Q41" s="45">
        <f t="shared" si="3"/>
        <v>-0.11799999999999988</v>
      </c>
      <c r="R41" s="48">
        <f t="shared" si="5"/>
        <v>0.93904958677685957</v>
      </c>
    </row>
    <row r="42" spans="1:21" x14ac:dyDescent="0.25">
      <c r="A42" s="13"/>
      <c r="B42" s="33" t="s">
        <v>44</v>
      </c>
      <c r="C42" s="61">
        <v>1.0740000000000001</v>
      </c>
      <c r="D42" s="61">
        <v>1.232</v>
      </c>
      <c r="E42" s="58">
        <f>-0.015+1.07</f>
        <v>1.0550000000000002</v>
      </c>
      <c r="F42" s="70">
        <v>0.29099999999999998</v>
      </c>
      <c r="G42" s="70">
        <v>0.39900000000000002</v>
      </c>
      <c r="H42" s="70">
        <f>0.582-0.291</f>
        <v>0.29099999999999998</v>
      </c>
      <c r="I42" s="70">
        <v>0.39900000000000002</v>
      </c>
      <c r="J42" s="70">
        <f>0.873-0.582</f>
        <v>0.29100000000000004</v>
      </c>
      <c r="K42" s="96">
        <v>0.39900000000000002</v>
      </c>
      <c r="L42" s="69">
        <f>1.25-0.873</f>
        <v>0.377</v>
      </c>
      <c r="M42" s="60">
        <f t="shared" si="33"/>
        <v>2.2520000000000002</v>
      </c>
      <c r="N42" s="67">
        <f t="shared" si="34"/>
        <v>1.25</v>
      </c>
      <c r="O42" s="45">
        <f t="shared" si="1"/>
        <v>-1.0020000000000002</v>
      </c>
      <c r="P42" s="48">
        <f t="shared" si="2"/>
        <v>0.55506216696269972</v>
      </c>
      <c r="Q42" s="45">
        <f t="shared" si="3"/>
        <v>1.8000000000000016E-2</v>
      </c>
      <c r="R42" s="48">
        <f t="shared" si="5"/>
        <v>1.0146103896103895</v>
      </c>
    </row>
    <row r="43" spans="1:21" x14ac:dyDescent="0.25">
      <c r="A43" s="13"/>
      <c r="B43" s="33" t="s">
        <v>98</v>
      </c>
      <c r="C43" s="61"/>
      <c r="D43" s="61"/>
      <c r="E43" s="58">
        <v>1.5</v>
      </c>
      <c r="F43" s="70">
        <v>1.5</v>
      </c>
      <c r="G43" s="70">
        <v>1.5</v>
      </c>
      <c r="H43" s="70">
        <f>3-1.5</f>
        <v>1.5</v>
      </c>
      <c r="I43" s="70">
        <v>1.5</v>
      </c>
      <c r="J43" s="70">
        <f>3.96-3</f>
        <v>0.96</v>
      </c>
      <c r="K43" s="96">
        <v>1.5</v>
      </c>
      <c r="L43" s="69">
        <f>5.491-3.96</f>
        <v>1.5309999999999997</v>
      </c>
      <c r="M43" s="60">
        <f t="shared" si="33"/>
        <v>6</v>
      </c>
      <c r="N43" s="67">
        <f t="shared" si="34"/>
        <v>5.4909999999999997</v>
      </c>
      <c r="O43" s="45">
        <f t="shared" si="1"/>
        <v>-0.50900000000000034</v>
      </c>
      <c r="P43" s="48">
        <f t="shared" si="2"/>
        <v>0.91516666666666657</v>
      </c>
      <c r="Q43" s="45">
        <f t="shared" si="3"/>
        <v>5.4909999999999997</v>
      </c>
      <c r="R43" s="48">
        <v>0.93471767885080359</v>
      </c>
    </row>
    <row r="44" spans="1:21" x14ac:dyDescent="0.25">
      <c r="A44" s="13"/>
      <c r="B44" s="33" t="s">
        <v>46</v>
      </c>
      <c r="C44" s="61">
        <v>2.593</v>
      </c>
      <c r="D44" s="61">
        <v>2.6379999999999999</v>
      </c>
      <c r="E44" s="58">
        <f>0.65+0.075</f>
        <v>0.72499999999999998</v>
      </c>
      <c r="F44" s="70">
        <v>0.52900000000000003</v>
      </c>
      <c r="G44" s="70">
        <v>0.72499999999999998</v>
      </c>
      <c r="H44" s="70">
        <f>1.162-0.529</f>
        <v>0.6329999999999999</v>
      </c>
      <c r="I44" s="70">
        <v>0.72499999999999998</v>
      </c>
      <c r="J44" s="70">
        <f>1.8-1.162</f>
        <v>0.63800000000000012</v>
      </c>
      <c r="K44" s="96">
        <v>0.72499999999999998</v>
      </c>
      <c r="L44" s="69">
        <f>2.218-1.8</f>
        <v>0.41799999999999993</v>
      </c>
      <c r="M44" s="60">
        <f t="shared" si="33"/>
        <v>2.9</v>
      </c>
      <c r="N44" s="67">
        <f t="shared" si="34"/>
        <v>2.218</v>
      </c>
      <c r="O44" s="45">
        <f t="shared" si="1"/>
        <v>-0.68199999999999994</v>
      </c>
      <c r="P44" s="48">
        <f t="shared" si="2"/>
        <v>0.76482758620689661</v>
      </c>
      <c r="Q44" s="45">
        <f t="shared" si="3"/>
        <v>-0.41999999999999993</v>
      </c>
      <c r="R44" s="48">
        <f t="shared" si="5"/>
        <v>0.84078847611827146</v>
      </c>
    </row>
    <row r="45" spans="1:21" x14ac:dyDescent="0.25">
      <c r="A45" s="13"/>
      <c r="B45" s="33" t="s">
        <v>47</v>
      </c>
      <c r="C45" s="61">
        <v>0.18099999999999999</v>
      </c>
      <c r="D45" s="61">
        <v>2.4E-2</v>
      </c>
      <c r="E45" s="58">
        <v>1.4999999999999999E-2</v>
      </c>
      <c r="F45" s="70"/>
      <c r="G45" s="70">
        <v>1.4999999999999999E-2</v>
      </c>
      <c r="H45" s="70"/>
      <c r="I45" s="70">
        <v>1.4999999999999999E-2</v>
      </c>
      <c r="J45" s="70">
        <v>0</v>
      </c>
      <c r="K45" s="96">
        <v>5.0000000000000001E-3</v>
      </c>
      <c r="L45" s="69"/>
      <c r="M45" s="60">
        <f t="shared" si="33"/>
        <v>4.9999999999999996E-2</v>
      </c>
      <c r="N45" s="67">
        <f t="shared" si="34"/>
        <v>0</v>
      </c>
      <c r="O45" s="45">
        <f t="shared" si="1"/>
        <v>-4.9999999999999996E-2</v>
      </c>
      <c r="P45" s="48">
        <f t="shared" si="2"/>
        <v>0</v>
      </c>
      <c r="Q45" s="45">
        <f t="shared" si="3"/>
        <v>-2.4E-2</v>
      </c>
      <c r="R45" s="48">
        <f t="shared" si="5"/>
        <v>0</v>
      </c>
    </row>
    <row r="46" spans="1:21" x14ac:dyDescent="0.25">
      <c r="A46" s="13"/>
      <c r="B46" s="33" t="s">
        <v>48</v>
      </c>
      <c r="C46" s="61">
        <v>0.61099999999999999</v>
      </c>
      <c r="D46" s="61">
        <v>0.92400000000000004</v>
      </c>
      <c r="E46" s="58">
        <f>0.26+0.155</f>
        <v>0.41500000000000004</v>
      </c>
      <c r="F46" s="70">
        <v>0.23499999999999999</v>
      </c>
      <c r="G46" s="70">
        <v>0.26</v>
      </c>
      <c r="H46" s="70">
        <f>0.451-0.235</f>
        <v>0.21600000000000003</v>
      </c>
      <c r="I46" s="70">
        <v>0.25700000000000001</v>
      </c>
      <c r="J46" s="70">
        <f>0.642-0.451</f>
        <v>0.191</v>
      </c>
      <c r="K46" s="96">
        <v>0.26</v>
      </c>
      <c r="L46" s="69">
        <f>0.772-0.642</f>
        <v>0.13</v>
      </c>
      <c r="M46" s="60">
        <f t="shared" si="33"/>
        <v>1.1920000000000002</v>
      </c>
      <c r="N46" s="67">
        <f t="shared" si="34"/>
        <v>0.77200000000000002</v>
      </c>
      <c r="O46" s="45">
        <f t="shared" si="1"/>
        <v>-0.42000000000000015</v>
      </c>
      <c r="P46" s="48">
        <f t="shared" si="2"/>
        <v>0.64765100671140929</v>
      </c>
      <c r="Q46" s="45">
        <f t="shared" si="3"/>
        <v>-0.15200000000000002</v>
      </c>
      <c r="R46" s="48">
        <f t="shared" si="5"/>
        <v>0.83549783549783552</v>
      </c>
    </row>
    <row r="47" spans="1:21" ht="19" customHeight="1" x14ac:dyDescent="0.25">
      <c r="A47" s="13"/>
      <c r="B47" s="33" t="s">
        <v>90</v>
      </c>
      <c r="C47" s="61">
        <v>0.51600000000000001</v>
      </c>
      <c r="D47" s="61">
        <v>0.59199999999999997</v>
      </c>
      <c r="E47" s="58">
        <v>0.13</v>
      </c>
      <c r="F47" s="70">
        <v>0.11</v>
      </c>
      <c r="G47" s="70">
        <v>0.13</v>
      </c>
      <c r="H47" s="70">
        <f>0.259-0.11</f>
        <v>0.14900000000000002</v>
      </c>
      <c r="I47" s="70">
        <v>0.13</v>
      </c>
      <c r="J47" s="70">
        <f>0.407-0.259</f>
        <v>0.14799999999999996</v>
      </c>
      <c r="K47" s="96">
        <v>0.13200000000000001</v>
      </c>
      <c r="L47" s="69">
        <f>0.48-0.407</f>
        <v>7.3000000000000009E-2</v>
      </c>
      <c r="M47" s="60">
        <f t="shared" si="33"/>
        <v>0.52200000000000002</v>
      </c>
      <c r="N47" s="67">
        <f t="shared" si="34"/>
        <v>0.48</v>
      </c>
      <c r="O47" s="45">
        <f t="shared" si="1"/>
        <v>-4.2000000000000037E-2</v>
      </c>
      <c r="P47" s="48">
        <f t="shared" si="2"/>
        <v>0.91954022988505735</v>
      </c>
      <c r="Q47" s="45">
        <f t="shared" si="3"/>
        <v>-0.11199999999999999</v>
      </c>
      <c r="R47" s="48">
        <f t="shared" si="5"/>
        <v>0.81081081081081086</v>
      </c>
    </row>
    <row r="48" spans="1:21" x14ac:dyDescent="0.25">
      <c r="A48" s="13"/>
      <c r="B48" s="33" t="s">
        <v>57</v>
      </c>
      <c r="C48" s="61">
        <v>4.3</v>
      </c>
      <c r="D48" s="61">
        <v>3.6240000000000001</v>
      </c>
      <c r="E48" s="58">
        <f>0.974-0.025</f>
        <v>0.94899999999999995</v>
      </c>
      <c r="F48" s="70">
        <v>0.72799999999999998</v>
      </c>
      <c r="G48" s="70">
        <v>0.94899999999999995</v>
      </c>
      <c r="H48" s="70">
        <f>1.947-0.728</f>
        <v>1.2190000000000001</v>
      </c>
      <c r="I48" s="70">
        <v>0.94899999999999995</v>
      </c>
      <c r="J48" s="70">
        <f>3.046-1.947</f>
        <v>1.0989999999999998</v>
      </c>
      <c r="K48" s="96">
        <f>0.974-0.032</f>
        <v>0.94199999999999995</v>
      </c>
      <c r="L48" s="69">
        <f>7.003-3.046+0.051</f>
        <v>4.008</v>
      </c>
      <c r="M48" s="60">
        <f t="shared" si="33"/>
        <v>3.7889999999999997</v>
      </c>
      <c r="N48" s="67">
        <f t="shared" si="34"/>
        <v>7.0540000000000003</v>
      </c>
      <c r="O48" s="45">
        <f t="shared" si="1"/>
        <v>3.2650000000000006</v>
      </c>
      <c r="P48" s="48">
        <f t="shared" si="2"/>
        <v>1.8617049353391399</v>
      </c>
      <c r="Q48" s="45">
        <f t="shared" si="3"/>
        <v>3.43</v>
      </c>
      <c r="R48" s="48">
        <f t="shared" si="5"/>
        <v>1.946467991169978</v>
      </c>
    </row>
    <row r="49" spans="1:18" x14ac:dyDescent="0.25">
      <c r="A49" s="13"/>
      <c r="B49" s="33" t="s">
        <v>60</v>
      </c>
      <c r="C49" s="61">
        <v>0.77200000000000002</v>
      </c>
      <c r="D49" s="61">
        <v>0.61499999999999999</v>
      </c>
      <c r="E49" s="58">
        <f>0.675/4</f>
        <v>0.16875000000000001</v>
      </c>
      <c r="F49" s="70">
        <v>0.159</v>
      </c>
      <c r="G49" s="70">
        <v>0.16900000000000001</v>
      </c>
      <c r="H49" s="70">
        <f>0.44-0.159</f>
        <v>0.28100000000000003</v>
      </c>
      <c r="I49" s="70">
        <v>0.16900000000000001</v>
      </c>
      <c r="J49" s="70">
        <f>0.603-0.44</f>
        <v>0.16299999999999998</v>
      </c>
      <c r="K49" s="96">
        <v>0.16800000000000001</v>
      </c>
      <c r="L49" s="69">
        <f>0.786-0.603</f>
        <v>0.18300000000000005</v>
      </c>
      <c r="M49" s="60">
        <f t="shared" si="33"/>
        <v>0.67475000000000007</v>
      </c>
      <c r="N49" s="67">
        <f t="shared" si="34"/>
        <v>0.78600000000000003</v>
      </c>
      <c r="O49" s="45">
        <f t="shared" si="1"/>
        <v>0.11124999999999996</v>
      </c>
      <c r="P49" s="48">
        <f t="shared" si="2"/>
        <v>1.164875879955539</v>
      </c>
      <c r="Q49" s="45">
        <f t="shared" si="3"/>
        <v>0.17100000000000004</v>
      </c>
      <c r="R49" s="48">
        <f t="shared" si="5"/>
        <v>1.2780487804878049</v>
      </c>
    </row>
    <row r="50" spans="1:18" ht="20.5" customHeight="1" x14ac:dyDescent="0.25">
      <c r="A50" s="13"/>
      <c r="B50" s="33" t="s">
        <v>80</v>
      </c>
      <c r="C50" s="61">
        <v>1.028</v>
      </c>
      <c r="D50" s="61">
        <v>0.60299999999999998</v>
      </c>
      <c r="E50" s="58">
        <v>0.1</v>
      </c>
      <c r="F50" s="70">
        <v>0</v>
      </c>
      <c r="G50" s="70">
        <v>1.2330000000000001</v>
      </c>
      <c r="H50" s="70">
        <v>2E-3</v>
      </c>
      <c r="I50" s="70">
        <v>0.1</v>
      </c>
      <c r="J50" s="70">
        <v>0</v>
      </c>
      <c r="K50" s="96">
        <v>0.14099999999999999</v>
      </c>
      <c r="L50" s="69">
        <f>0.935-0.002</f>
        <v>0.93300000000000005</v>
      </c>
      <c r="M50" s="60">
        <f t="shared" si="33"/>
        <v>1.5740000000000003</v>
      </c>
      <c r="N50" s="67">
        <f t="shared" si="34"/>
        <v>0.93500000000000005</v>
      </c>
      <c r="O50" s="45">
        <f t="shared" si="1"/>
        <v>-0.63900000000000023</v>
      </c>
      <c r="P50" s="48">
        <f t="shared" si="2"/>
        <v>0.59402795425667088</v>
      </c>
      <c r="Q50" s="45">
        <f t="shared" si="3"/>
        <v>0.33200000000000007</v>
      </c>
      <c r="R50" s="48">
        <f t="shared" si="5"/>
        <v>1.5505804311774463</v>
      </c>
    </row>
    <row r="51" spans="1:18" ht="21" x14ac:dyDescent="0.25">
      <c r="A51" s="13"/>
      <c r="B51" s="33" t="s">
        <v>62</v>
      </c>
      <c r="C51" s="61">
        <v>0.433</v>
      </c>
      <c r="D51" s="61">
        <v>0.48899999999999999</v>
      </c>
      <c r="E51" s="58">
        <v>0.11899999999999999</v>
      </c>
      <c r="F51" s="70">
        <v>0.19700000000000001</v>
      </c>
      <c r="G51" s="70">
        <v>0.11899999999999999</v>
      </c>
      <c r="H51" s="70">
        <f>0.98-0.197+0.256</f>
        <v>1.0389999999999999</v>
      </c>
      <c r="I51" s="70">
        <v>0.115</v>
      </c>
      <c r="J51" s="70">
        <f>0.98+0.402-1.236+0.051</f>
        <v>0.19700000000000012</v>
      </c>
      <c r="K51" s="96">
        <f>0.115</f>
        <v>0.115</v>
      </c>
      <c r="L51" s="69">
        <f>2.93-1.433+0.457</f>
        <v>1.9540000000000002</v>
      </c>
      <c r="M51" s="60">
        <f t="shared" si="33"/>
        <v>0.46799999999999997</v>
      </c>
      <c r="N51" s="67">
        <f>F51+H51+J51+L51</f>
        <v>3.3870000000000005</v>
      </c>
      <c r="O51" s="45">
        <f t="shared" si="1"/>
        <v>2.9190000000000005</v>
      </c>
      <c r="P51" s="48">
        <f t="shared" si="2"/>
        <v>7.237179487179489</v>
      </c>
      <c r="Q51" s="45">
        <f t="shared" si="3"/>
        <v>2.8980000000000006</v>
      </c>
      <c r="R51" s="48">
        <f t="shared" si="5"/>
        <v>6.9263803680981608</v>
      </c>
    </row>
    <row r="52" spans="1:18" x14ac:dyDescent="0.25">
      <c r="A52" s="13"/>
      <c r="B52" s="33" t="s">
        <v>26</v>
      </c>
      <c r="C52" s="61">
        <v>0.67400000000000004</v>
      </c>
      <c r="D52" s="61">
        <v>0.64700000000000002</v>
      </c>
      <c r="E52" s="58">
        <f>-0.033+0.203</f>
        <v>0.17</v>
      </c>
      <c r="F52" s="70">
        <v>0.25700000000000001</v>
      </c>
      <c r="G52" s="70">
        <v>0.2</v>
      </c>
      <c r="H52" s="70">
        <f>0.267-0.257</f>
        <v>1.0000000000000009E-2</v>
      </c>
      <c r="I52" s="70">
        <v>0.2</v>
      </c>
      <c r="J52" s="70">
        <f>0.277-0.267</f>
        <v>1.0000000000000009E-2</v>
      </c>
      <c r="K52" s="96">
        <v>0.2</v>
      </c>
      <c r="L52" s="69">
        <f>0.279-0.277</f>
        <v>2.0000000000000018E-3</v>
      </c>
      <c r="M52" s="60">
        <f t="shared" si="33"/>
        <v>0.77</v>
      </c>
      <c r="N52" s="67">
        <f t="shared" si="34"/>
        <v>0.27900000000000003</v>
      </c>
      <c r="O52" s="45">
        <f t="shared" si="1"/>
        <v>-0.49099999999999999</v>
      </c>
      <c r="P52" s="48">
        <f t="shared" si="2"/>
        <v>0.36233766233766235</v>
      </c>
      <c r="Q52" s="45">
        <f t="shared" si="3"/>
        <v>-0.36799999999999999</v>
      </c>
      <c r="R52" s="48">
        <f t="shared" si="5"/>
        <v>0.43122102009273572</v>
      </c>
    </row>
    <row r="53" spans="1:18" ht="20" customHeight="1" x14ac:dyDescent="0.25">
      <c r="A53" s="13"/>
      <c r="B53" s="34" t="s">
        <v>37</v>
      </c>
      <c r="C53" s="58">
        <f>C54+C57+C58+C59+C60</f>
        <v>42.684999999999995</v>
      </c>
      <c r="D53" s="58">
        <f>D54+D57+D58+D59+D60</f>
        <v>26.369999999999997</v>
      </c>
      <c r="E53" s="58">
        <f t="shared" ref="E53" si="35">E54+E57+E58+E59+E60</f>
        <v>6.6459999999999999</v>
      </c>
      <c r="F53" s="80">
        <f>F54+F57+F58+F59+F60</f>
        <v>6.9339999999999993</v>
      </c>
      <c r="G53" s="80">
        <f t="shared" ref="G53:K53" si="36">G54+G57+G58+G59+G60</f>
        <v>6.6210000000000004</v>
      </c>
      <c r="H53" s="80">
        <f t="shared" si="36"/>
        <v>8.0410000000000004</v>
      </c>
      <c r="I53" s="80">
        <f t="shared" si="36"/>
        <v>7.1610000000000005</v>
      </c>
      <c r="J53" s="80">
        <f t="shared" si="36"/>
        <v>5.919999999999999</v>
      </c>
      <c r="K53" s="96">
        <f t="shared" si="36"/>
        <v>6.5809999999999995</v>
      </c>
      <c r="L53" s="96">
        <f>L54+L57+L58+L59+L60</f>
        <v>3.2610000000000001</v>
      </c>
      <c r="M53" s="60">
        <f>E53+G53+I53+K53</f>
        <v>27.009</v>
      </c>
      <c r="N53" s="86">
        <f>N54+N57+N58+N59+N60</f>
        <v>24.156000000000002</v>
      </c>
      <c r="O53" s="45">
        <f>N53-M53</f>
        <v>-2.852999999999998</v>
      </c>
      <c r="P53" s="48">
        <f>N53/M53</f>
        <v>0.89436854381872721</v>
      </c>
      <c r="Q53" s="45">
        <f t="shared" si="3"/>
        <v>-2.2139999999999951</v>
      </c>
      <c r="R53" s="48">
        <f t="shared" si="5"/>
        <v>0.91604095563139953</v>
      </c>
    </row>
    <row r="54" spans="1:18" x14ac:dyDescent="0.25">
      <c r="A54" s="13"/>
      <c r="B54" s="35" t="s">
        <v>86</v>
      </c>
      <c r="C54" s="61">
        <f>C55+C56</f>
        <v>14.158999999999999</v>
      </c>
      <c r="D54" s="61">
        <f>D55+D56</f>
        <v>12.581999999999999</v>
      </c>
      <c r="E54" s="58">
        <f t="shared" ref="E54" si="37">E55+E56</f>
        <v>3.9249999999999998</v>
      </c>
      <c r="F54" s="70">
        <f>F55+F56</f>
        <v>2.895</v>
      </c>
      <c r="G54" s="70">
        <f t="shared" ref="G54:L54" si="38">G55+G56</f>
        <v>2.5250000000000004</v>
      </c>
      <c r="H54" s="70">
        <f t="shared" si="38"/>
        <v>1.6630000000000003</v>
      </c>
      <c r="I54" s="70">
        <f t="shared" si="38"/>
        <v>2.5250000000000004</v>
      </c>
      <c r="J54" s="70">
        <f t="shared" si="38"/>
        <v>2.2530000000000001</v>
      </c>
      <c r="K54" s="59">
        <f t="shared" si="38"/>
        <v>3.4749999999999996</v>
      </c>
      <c r="L54" s="59">
        <f t="shared" si="38"/>
        <v>1.2309999999999992</v>
      </c>
      <c r="M54" s="60">
        <f>E54+G54+I54+K54</f>
        <v>12.450000000000001</v>
      </c>
      <c r="N54" s="67">
        <f>F54+H54+J54+L54</f>
        <v>8.0419999999999998</v>
      </c>
      <c r="O54" s="45">
        <f t="shared" si="1"/>
        <v>-4.4080000000000013</v>
      </c>
      <c r="P54" s="48">
        <f t="shared" si="2"/>
        <v>0.64594377510040157</v>
      </c>
      <c r="Q54" s="45">
        <f t="shared" si="3"/>
        <v>-4.5399999999999991</v>
      </c>
      <c r="R54" s="48">
        <f t="shared" si="5"/>
        <v>0.63916706405976798</v>
      </c>
    </row>
    <row r="55" spans="1:18" x14ac:dyDescent="0.25">
      <c r="A55" s="13"/>
      <c r="B55" s="33" t="s">
        <v>87</v>
      </c>
      <c r="C55" s="61">
        <v>4.26</v>
      </c>
      <c r="D55" s="61">
        <v>2.35</v>
      </c>
      <c r="E55" s="58">
        <v>0.55000000000000004</v>
      </c>
      <c r="F55" s="70">
        <v>0.59699999999999998</v>
      </c>
      <c r="G55" s="70">
        <v>0.55000000000000004</v>
      </c>
      <c r="H55" s="70">
        <f>1.193-0.597</f>
        <v>0.59600000000000009</v>
      </c>
      <c r="I55" s="70">
        <v>0.55000000000000004</v>
      </c>
      <c r="J55" s="70">
        <f>1.731-1.193</f>
        <v>0.53800000000000003</v>
      </c>
      <c r="K55" s="96">
        <v>0.55000000000000004</v>
      </c>
      <c r="L55" s="69">
        <f>2.038-1.731</f>
        <v>0.30699999999999972</v>
      </c>
      <c r="M55" s="60">
        <f t="shared" si="33"/>
        <v>2.2000000000000002</v>
      </c>
      <c r="N55" s="67">
        <f t="shared" ref="N55:N99" si="39">F55+H55+J55+L55</f>
        <v>2.0379999999999998</v>
      </c>
      <c r="O55" s="45">
        <f t="shared" si="1"/>
        <v>-0.16200000000000037</v>
      </c>
      <c r="P55" s="48">
        <f t="shared" si="2"/>
        <v>0.92636363636363617</v>
      </c>
      <c r="Q55" s="45">
        <f t="shared" si="3"/>
        <v>-0.31200000000000028</v>
      </c>
      <c r="R55" s="48">
        <f t="shared" si="5"/>
        <v>0.86723404255319136</v>
      </c>
    </row>
    <row r="56" spans="1:18" x14ac:dyDescent="0.25">
      <c r="A56" s="13"/>
      <c r="B56" s="33" t="s">
        <v>88</v>
      </c>
      <c r="C56" s="61">
        <v>9.8989999999999991</v>
      </c>
      <c r="D56" s="61">
        <v>10.231999999999999</v>
      </c>
      <c r="E56" s="58">
        <v>3.375</v>
      </c>
      <c r="F56" s="70">
        <v>2.298</v>
      </c>
      <c r="G56" s="70">
        <v>1.9750000000000001</v>
      </c>
      <c r="H56" s="70">
        <f>3.365-2.298</f>
        <v>1.0670000000000002</v>
      </c>
      <c r="I56" s="70">
        <v>1.9750000000000001</v>
      </c>
      <c r="J56" s="70">
        <f>5.08-3.365</f>
        <v>1.7149999999999999</v>
      </c>
      <c r="K56" s="96">
        <f>0.5+2.875-0.45</f>
        <v>2.9249999999999998</v>
      </c>
      <c r="L56" s="69">
        <f>6.004-5.08</f>
        <v>0.92399999999999949</v>
      </c>
      <c r="M56" s="60">
        <f t="shared" si="33"/>
        <v>10.25</v>
      </c>
      <c r="N56" s="67">
        <f t="shared" si="39"/>
        <v>6.0039999999999996</v>
      </c>
      <c r="O56" s="45">
        <f t="shared" si="1"/>
        <v>-4.2460000000000004</v>
      </c>
      <c r="P56" s="48">
        <f t="shared" si="2"/>
        <v>0.58575609756097557</v>
      </c>
      <c r="Q56" s="45">
        <f t="shared" si="3"/>
        <v>-4.2279999999999998</v>
      </c>
      <c r="R56" s="48">
        <f t="shared" si="5"/>
        <v>0.58678655199374508</v>
      </c>
    </row>
    <row r="57" spans="1:18" x14ac:dyDescent="0.25">
      <c r="A57" s="13"/>
      <c r="B57" s="36" t="s">
        <v>61</v>
      </c>
      <c r="C57" s="61">
        <v>6.3360000000000003</v>
      </c>
      <c r="D57" s="61">
        <v>5.952</v>
      </c>
      <c r="E57" s="58">
        <v>1.016</v>
      </c>
      <c r="F57" s="71">
        <f>1.179</f>
        <v>1.179</v>
      </c>
      <c r="G57" s="71">
        <v>1.766</v>
      </c>
      <c r="H57" s="71">
        <f>2.601-1.179</f>
        <v>1.4219999999999999</v>
      </c>
      <c r="I57" s="71">
        <v>1.766</v>
      </c>
      <c r="J57" s="71">
        <f>4.504-2.601</f>
        <v>1.9029999999999996</v>
      </c>
      <c r="K57" s="96">
        <v>1.516</v>
      </c>
      <c r="L57" s="68">
        <f>5.902-4.504</f>
        <v>1.3980000000000006</v>
      </c>
      <c r="M57" s="60">
        <f t="shared" si="33"/>
        <v>6.0640000000000001</v>
      </c>
      <c r="N57" s="67">
        <f t="shared" si="39"/>
        <v>5.9020000000000001</v>
      </c>
      <c r="O57" s="45">
        <f t="shared" si="1"/>
        <v>-0.16199999999999992</v>
      </c>
      <c r="P57" s="48">
        <f t="shared" si="2"/>
        <v>0.97328496042216361</v>
      </c>
      <c r="Q57" s="45">
        <f t="shared" si="3"/>
        <v>-4.9999999999999822E-2</v>
      </c>
      <c r="R57" s="48">
        <f t="shared" si="5"/>
        <v>0.99159946236559138</v>
      </c>
    </row>
    <row r="58" spans="1:18" x14ac:dyDescent="0.25">
      <c r="A58" s="13"/>
      <c r="B58" s="36" t="s">
        <v>59</v>
      </c>
      <c r="C58" s="61">
        <v>16.300999999999998</v>
      </c>
      <c r="D58" s="61">
        <v>2.431</v>
      </c>
      <c r="E58" s="58">
        <v>0.2</v>
      </c>
      <c r="F58" s="70">
        <v>1.383</v>
      </c>
      <c r="G58" s="70">
        <v>0.78500000000000003</v>
      </c>
      <c r="H58" s="70">
        <f>5.88-1.383</f>
        <v>4.4969999999999999</v>
      </c>
      <c r="I58" s="70">
        <v>1.325</v>
      </c>
      <c r="J58" s="70">
        <v>0.45200000000000001</v>
      </c>
      <c r="K58" s="96">
        <v>8.5000000000000006E-2</v>
      </c>
      <c r="L58" s="69">
        <v>0</v>
      </c>
      <c r="M58" s="60">
        <f t="shared" si="33"/>
        <v>2.395</v>
      </c>
      <c r="N58" s="67">
        <f t="shared" si="39"/>
        <v>6.3319999999999999</v>
      </c>
      <c r="O58" s="45">
        <f t="shared" si="1"/>
        <v>3.9369999999999998</v>
      </c>
      <c r="P58" s="48">
        <f t="shared" si="2"/>
        <v>2.64384133611691</v>
      </c>
      <c r="Q58" s="45">
        <f t="shared" si="3"/>
        <v>3.9009999999999998</v>
      </c>
      <c r="R58" s="48">
        <f t="shared" si="5"/>
        <v>2.60468942821884</v>
      </c>
    </row>
    <row r="59" spans="1:18" x14ac:dyDescent="0.25">
      <c r="A59" s="13"/>
      <c r="B59" s="36" t="s">
        <v>71</v>
      </c>
      <c r="C59" s="61">
        <v>4.4749999999999996</v>
      </c>
      <c r="D59" s="61">
        <v>4.5570000000000004</v>
      </c>
      <c r="E59" s="58">
        <v>1.375</v>
      </c>
      <c r="F59" s="70">
        <v>1.2589999999999999</v>
      </c>
      <c r="G59" s="70">
        <v>1.375</v>
      </c>
      <c r="H59" s="70">
        <f>1.618-1.259</f>
        <v>0.35900000000000021</v>
      </c>
      <c r="I59" s="70">
        <v>1.375</v>
      </c>
      <c r="J59" s="70">
        <f>3.249-1.618-0.465</f>
        <v>1.1659999999999999</v>
      </c>
      <c r="K59" s="96">
        <v>1.375</v>
      </c>
      <c r="L59" s="69">
        <f>3.349-2.784-0.22</f>
        <v>0.34500000000000042</v>
      </c>
      <c r="M59" s="60">
        <f t="shared" si="33"/>
        <v>5.5</v>
      </c>
      <c r="N59" s="67">
        <f t="shared" si="39"/>
        <v>3.1290000000000004</v>
      </c>
      <c r="O59" s="45">
        <f t="shared" si="1"/>
        <v>-2.3709999999999996</v>
      </c>
      <c r="P59" s="48">
        <f t="shared" si="2"/>
        <v>0.56890909090909103</v>
      </c>
      <c r="Q59" s="45">
        <f t="shared" si="3"/>
        <v>-1.4279999999999999</v>
      </c>
      <c r="R59" s="48">
        <f>N59/D59</f>
        <v>0.68663594470046085</v>
      </c>
    </row>
    <row r="60" spans="1:18" x14ac:dyDescent="0.25">
      <c r="A60" s="13"/>
      <c r="B60" s="36" t="s">
        <v>83</v>
      </c>
      <c r="C60" s="63">
        <v>1.4139999999999999</v>
      </c>
      <c r="D60" s="63">
        <v>0.84799999999999998</v>
      </c>
      <c r="E60" s="64">
        <v>0.13</v>
      </c>
      <c r="F60" s="71">
        <v>0.218</v>
      </c>
      <c r="G60" s="71">
        <v>0.17</v>
      </c>
      <c r="H60" s="71">
        <f>0.318-0.218</f>
        <v>0.1</v>
      </c>
      <c r="I60" s="71">
        <v>0.17</v>
      </c>
      <c r="J60" s="71">
        <f>0.464-0.318</f>
        <v>0.14600000000000002</v>
      </c>
      <c r="K60" s="98">
        <v>0.13</v>
      </c>
      <c r="L60" s="68">
        <f>0.751-0.464</f>
        <v>0.28699999999999998</v>
      </c>
      <c r="M60" s="60">
        <f t="shared" si="33"/>
        <v>0.60000000000000009</v>
      </c>
      <c r="N60" s="67">
        <f t="shared" si="39"/>
        <v>0.751</v>
      </c>
      <c r="O60" s="45">
        <f t="shared" si="1"/>
        <v>0.15099999999999991</v>
      </c>
      <c r="P60" s="48">
        <f t="shared" si="2"/>
        <v>1.2516666666666665</v>
      </c>
      <c r="Q60" s="45">
        <f t="shared" si="3"/>
        <v>-9.6999999999999975E-2</v>
      </c>
      <c r="R60" s="48">
        <f t="shared" si="5"/>
        <v>0.88561320754716988</v>
      </c>
    </row>
    <row r="61" spans="1:18" ht="20" customHeight="1" x14ac:dyDescent="0.25">
      <c r="A61" s="13"/>
      <c r="B61" s="34" t="s">
        <v>35</v>
      </c>
      <c r="C61" s="58">
        <f>SUM(C62:C69)</f>
        <v>9.2590000000000039</v>
      </c>
      <c r="D61" s="58">
        <f>SUM(D62:D70)</f>
        <v>5.1359999999999992</v>
      </c>
      <c r="E61" s="58">
        <f t="shared" ref="E61" si="40">SUM(E62:E70)</f>
        <v>1.222</v>
      </c>
      <c r="F61" s="58">
        <f>SUM(F62:F70)</f>
        <v>0.53500000000000003</v>
      </c>
      <c r="G61" s="58">
        <f t="shared" ref="G61:M61" si="41">SUM(G62:G70)</f>
        <v>1.2500000000000002</v>
      </c>
      <c r="H61" s="58">
        <f t="shared" si="41"/>
        <v>1.5949999999999998</v>
      </c>
      <c r="I61" s="58">
        <f t="shared" si="41"/>
        <v>0.85</v>
      </c>
      <c r="J61" s="58">
        <f t="shared" si="41"/>
        <v>0.43499999999999994</v>
      </c>
      <c r="K61" s="59">
        <f t="shared" si="41"/>
        <v>2.145</v>
      </c>
      <c r="L61" s="59">
        <f t="shared" si="41"/>
        <v>1.9219999999999997</v>
      </c>
      <c r="M61" s="58">
        <f t="shared" si="41"/>
        <v>5.4669999999999996</v>
      </c>
      <c r="N61" s="58">
        <f>SUM(N62:N70)</f>
        <v>4.4869999999999992</v>
      </c>
      <c r="O61" s="45">
        <f t="shared" si="1"/>
        <v>-0.98000000000000043</v>
      </c>
      <c r="P61" s="48">
        <f t="shared" si="2"/>
        <v>0.82074263764404598</v>
      </c>
      <c r="Q61" s="45">
        <f t="shared" si="3"/>
        <v>-0.64900000000000002</v>
      </c>
      <c r="R61" s="48">
        <f t="shared" si="5"/>
        <v>0.87363707165109028</v>
      </c>
    </row>
    <row r="62" spans="1:18" ht="12.5" customHeight="1" x14ac:dyDescent="0.25">
      <c r="A62" s="13"/>
      <c r="B62" s="33" t="s">
        <v>25</v>
      </c>
      <c r="C62" s="61">
        <v>0.61199999999999999</v>
      </c>
      <c r="D62" s="61">
        <v>0.11899999999999999</v>
      </c>
      <c r="E62" s="58">
        <v>0</v>
      </c>
      <c r="F62" s="70">
        <v>7.9000000000000001E-2</v>
      </c>
      <c r="G62" s="70"/>
      <c r="H62" s="70">
        <v>0</v>
      </c>
      <c r="I62" s="70">
        <v>0.3</v>
      </c>
      <c r="J62" s="70"/>
      <c r="K62" s="96"/>
      <c r="L62" s="69"/>
      <c r="M62" s="60">
        <f t="shared" si="33"/>
        <v>0.3</v>
      </c>
      <c r="N62" s="67">
        <f t="shared" si="39"/>
        <v>7.9000000000000001E-2</v>
      </c>
      <c r="O62" s="45">
        <f t="shared" si="1"/>
        <v>-0.22099999999999997</v>
      </c>
      <c r="P62" s="48">
        <f t="shared" si="2"/>
        <v>0.26333333333333336</v>
      </c>
      <c r="Q62" s="45">
        <f t="shared" si="3"/>
        <v>-3.9999999999999994E-2</v>
      </c>
      <c r="R62" s="48">
        <f t="shared" si="5"/>
        <v>0.66386554621848748</v>
      </c>
    </row>
    <row r="63" spans="1:18" x14ac:dyDescent="0.25">
      <c r="A63" s="13"/>
      <c r="B63" s="33" t="s">
        <v>17</v>
      </c>
      <c r="C63" s="61">
        <v>1.5</v>
      </c>
      <c r="D63" s="61">
        <v>1.49</v>
      </c>
      <c r="E63" s="58"/>
      <c r="F63" s="70"/>
      <c r="G63" s="70"/>
      <c r="H63" s="70">
        <v>0</v>
      </c>
      <c r="I63" s="70"/>
      <c r="J63" s="70">
        <v>0</v>
      </c>
      <c r="K63" s="96">
        <v>1.5</v>
      </c>
      <c r="L63" s="69">
        <v>1.48</v>
      </c>
      <c r="M63" s="60">
        <f t="shared" si="33"/>
        <v>1.5</v>
      </c>
      <c r="N63" s="67">
        <f t="shared" si="39"/>
        <v>1.48</v>
      </c>
      <c r="O63" s="45">
        <f t="shared" si="1"/>
        <v>-2.0000000000000018E-2</v>
      </c>
      <c r="P63" s="48">
        <f t="shared" si="2"/>
        <v>0.98666666666666669</v>
      </c>
      <c r="Q63" s="45">
        <f t="shared" si="3"/>
        <v>-1.0000000000000009E-2</v>
      </c>
      <c r="R63" s="48">
        <f t="shared" si="5"/>
        <v>0.99328859060402686</v>
      </c>
    </row>
    <row r="64" spans="1:18" x14ac:dyDescent="0.25">
      <c r="A64" s="13"/>
      <c r="B64" s="33" t="s">
        <v>43</v>
      </c>
      <c r="C64" s="61">
        <v>2.496</v>
      </c>
      <c r="D64" s="61">
        <v>1.508</v>
      </c>
      <c r="E64" s="58">
        <v>0.45</v>
      </c>
      <c r="F64" s="70">
        <v>0.32900000000000001</v>
      </c>
      <c r="G64" s="70">
        <v>0.45</v>
      </c>
      <c r="H64" s="70">
        <f>0.658-0.329</f>
        <v>0.32900000000000001</v>
      </c>
      <c r="I64" s="70">
        <v>0.45</v>
      </c>
      <c r="J64" s="70">
        <f>0.987-0.658</f>
        <v>0.32899999999999996</v>
      </c>
      <c r="K64" s="96">
        <v>0.45</v>
      </c>
      <c r="L64" s="69">
        <f>1.363-0.987</f>
        <v>0.376</v>
      </c>
      <c r="M64" s="60">
        <f t="shared" si="33"/>
        <v>1.8</v>
      </c>
      <c r="N64" s="67">
        <f t="shared" si="39"/>
        <v>1.363</v>
      </c>
      <c r="O64" s="45">
        <f t="shared" si="1"/>
        <v>-0.43700000000000006</v>
      </c>
      <c r="P64" s="48">
        <f t="shared" si="2"/>
        <v>0.75722222222222224</v>
      </c>
      <c r="Q64" s="45">
        <f t="shared" si="3"/>
        <v>-0.14500000000000002</v>
      </c>
      <c r="R64" s="48">
        <f t="shared" si="5"/>
        <v>0.90384615384615385</v>
      </c>
    </row>
    <row r="65" spans="1:18" x14ac:dyDescent="0.25">
      <c r="A65" s="13"/>
      <c r="B65" s="33" t="s">
        <v>24</v>
      </c>
      <c r="C65" s="61">
        <v>3.7709999999999999</v>
      </c>
      <c r="D65" s="61">
        <v>1.105</v>
      </c>
      <c r="E65" s="58">
        <v>0.6</v>
      </c>
      <c r="F65" s="70"/>
      <c r="G65" s="70">
        <v>0.6</v>
      </c>
      <c r="H65" s="70">
        <v>1.1779999999999999</v>
      </c>
      <c r="I65" s="70"/>
      <c r="J65" s="70">
        <v>0</v>
      </c>
      <c r="K65" s="96"/>
      <c r="L65" s="69"/>
      <c r="M65" s="60">
        <f t="shared" si="33"/>
        <v>1.2</v>
      </c>
      <c r="N65" s="67">
        <f t="shared" si="39"/>
        <v>1.1779999999999999</v>
      </c>
      <c r="O65" s="45">
        <f t="shared" si="1"/>
        <v>-2.200000000000002E-2</v>
      </c>
      <c r="P65" s="48">
        <f t="shared" si="2"/>
        <v>0.98166666666666669</v>
      </c>
      <c r="Q65" s="45">
        <f t="shared" si="3"/>
        <v>7.2999999999999954E-2</v>
      </c>
      <c r="R65" s="48">
        <f t="shared" si="5"/>
        <v>1.0660633484162896</v>
      </c>
    </row>
    <row r="66" spans="1:18" x14ac:dyDescent="0.25">
      <c r="A66" s="13"/>
      <c r="B66" s="33" t="s">
        <v>58</v>
      </c>
      <c r="C66" s="61">
        <v>0.73899999999999999</v>
      </c>
      <c r="D66" s="61">
        <v>0.82</v>
      </c>
      <c r="E66" s="58">
        <v>0.125</v>
      </c>
      <c r="F66" s="70">
        <v>9.1999999999999998E-2</v>
      </c>
      <c r="G66" s="70">
        <v>0.1</v>
      </c>
      <c r="H66" s="70">
        <f>0.161-0.092</f>
        <v>6.9000000000000006E-2</v>
      </c>
      <c r="I66" s="70">
        <v>0.1</v>
      </c>
      <c r="J66" s="70">
        <f>0.244-0.161</f>
        <v>8.299999999999999E-2</v>
      </c>
      <c r="K66" s="96">
        <v>0.125</v>
      </c>
      <c r="L66" s="69">
        <f>0.301-0.244</f>
        <v>5.6999999999999995E-2</v>
      </c>
      <c r="M66" s="60">
        <f t="shared" si="33"/>
        <v>0.45</v>
      </c>
      <c r="N66" s="67">
        <f t="shared" si="39"/>
        <v>0.30099999999999999</v>
      </c>
      <c r="O66" s="45">
        <f t="shared" si="1"/>
        <v>-0.14900000000000002</v>
      </c>
      <c r="P66" s="48">
        <f t="shared" si="2"/>
        <v>0.66888888888888887</v>
      </c>
      <c r="Q66" s="45">
        <f t="shared" si="3"/>
        <v>-0.51899999999999991</v>
      </c>
      <c r="R66" s="93">
        <v>0.66386554621848748</v>
      </c>
    </row>
    <row r="67" spans="1:18" x14ac:dyDescent="0.25">
      <c r="A67" s="13"/>
      <c r="B67" s="33" t="s">
        <v>85</v>
      </c>
      <c r="C67" s="61">
        <v>7.2999999999999995E-2</v>
      </c>
      <c r="D67" s="61">
        <v>1.2999999999999999E-2</v>
      </c>
      <c r="E67" s="58">
        <v>4.7E-2</v>
      </c>
      <c r="F67" s="70"/>
      <c r="G67" s="70"/>
      <c r="H67" s="70">
        <v>0</v>
      </c>
      <c r="I67" s="70"/>
      <c r="J67" s="70">
        <v>1.7000000000000001E-2</v>
      </c>
      <c r="K67" s="96">
        <v>0.02</v>
      </c>
      <c r="L67" s="69">
        <f>0.026-0.017</f>
        <v>8.9999999999999976E-3</v>
      </c>
      <c r="M67" s="60">
        <f t="shared" si="33"/>
        <v>6.7000000000000004E-2</v>
      </c>
      <c r="N67" s="67">
        <f t="shared" si="39"/>
        <v>2.5999999999999999E-2</v>
      </c>
      <c r="O67" s="45">
        <f t="shared" si="1"/>
        <v>-4.1000000000000009E-2</v>
      </c>
      <c r="P67" s="48">
        <f t="shared" si="2"/>
        <v>0.38805970149253727</v>
      </c>
      <c r="Q67" s="45">
        <f t="shared" si="3"/>
        <v>1.2999999999999999E-2</v>
      </c>
      <c r="R67" s="48">
        <f t="shared" si="5"/>
        <v>2</v>
      </c>
    </row>
    <row r="68" spans="1:18" x14ac:dyDescent="0.25">
      <c r="A68" s="13"/>
      <c r="B68" s="34" t="s">
        <v>41</v>
      </c>
      <c r="C68" s="61">
        <v>3.1E-2</v>
      </c>
      <c r="D68" s="61">
        <v>6.3E-2</v>
      </c>
      <c r="E68" s="64">
        <v>0</v>
      </c>
      <c r="F68" s="70">
        <v>0.02</v>
      </c>
      <c r="G68" s="70"/>
      <c r="H68" s="70">
        <f>0.025+0.014-0.02</f>
        <v>1.9E-2</v>
      </c>
      <c r="I68" s="70"/>
      <c r="J68" s="70">
        <f>0.029+0.016-0.039</f>
        <v>5.9999999999999984E-3</v>
      </c>
      <c r="K68" s="98">
        <v>0.05</v>
      </c>
      <c r="L68" s="69"/>
      <c r="M68" s="60">
        <f t="shared" si="33"/>
        <v>0.05</v>
      </c>
      <c r="N68" s="67">
        <f t="shared" si="39"/>
        <v>4.4999999999999998E-2</v>
      </c>
      <c r="O68" s="45">
        <f t="shared" si="1"/>
        <v>-5.0000000000000044E-3</v>
      </c>
      <c r="P68" s="48">
        <f t="shared" si="2"/>
        <v>0.89999999999999991</v>
      </c>
      <c r="Q68" s="45">
        <f t="shared" si="3"/>
        <v>-1.8000000000000002E-2</v>
      </c>
      <c r="R68" s="48">
        <f t="shared" si="5"/>
        <v>0.7142857142857143</v>
      </c>
    </row>
    <row r="69" spans="1:18" ht="20" customHeight="1" x14ac:dyDescent="0.25">
      <c r="A69" s="13"/>
      <c r="B69" s="34" t="s">
        <v>7</v>
      </c>
      <c r="C69" s="63">
        <v>3.6999999999999998E-2</v>
      </c>
      <c r="D69" s="63">
        <v>1.7999999999999999E-2</v>
      </c>
      <c r="E69" s="64"/>
      <c r="F69" s="70">
        <v>1.4999999999999999E-2</v>
      </c>
      <c r="G69" s="70">
        <v>0.1</v>
      </c>
      <c r="H69" s="70">
        <v>0</v>
      </c>
      <c r="I69" s="70"/>
      <c r="J69" s="70"/>
      <c r="K69" s="98"/>
      <c r="L69" s="69"/>
      <c r="M69" s="60">
        <f t="shared" si="33"/>
        <v>0.1</v>
      </c>
      <c r="N69" s="67">
        <f t="shared" si="39"/>
        <v>1.4999999999999999E-2</v>
      </c>
      <c r="O69" s="45">
        <f t="shared" si="1"/>
        <v>-8.5000000000000006E-2</v>
      </c>
      <c r="P69" s="48">
        <f t="shared" si="2"/>
        <v>0.15</v>
      </c>
      <c r="Q69" s="45">
        <f t="shared" si="3"/>
        <v>-2.9999999999999992E-3</v>
      </c>
      <c r="R69" s="48">
        <f t="shared" si="5"/>
        <v>0.83333333333333337</v>
      </c>
    </row>
    <row r="70" spans="1:18" x14ac:dyDescent="0.25">
      <c r="A70" s="13"/>
      <c r="B70" s="34"/>
      <c r="C70" s="63"/>
      <c r="D70" s="63"/>
      <c r="E70" s="64"/>
      <c r="F70" s="70"/>
      <c r="G70" s="70"/>
      <c r="H70" s="70"/>
      <c r="I70" s="70"/>
      <c r="J70" s="70"/>
      <c r="K70" s="98"/>
      <c r="L70" s="69"/>
      <c r="M70" s="60">
        <f t="shared" si="33"/>
        <v>0</v>
      </c>
      <c r="N70" s="67">
        <f t="shared" si="39"/>
        <v>0</v>
      </c>
      <c r="O70" s="45">
        <f t="shared" ref="O70:O100" si="42">N70-M70</f>
        <v>0</v>
      </c>
      <c r="P70" s="48"/>
      <c r="Q70" s="45">
        <f t="shared" ref="Q70:Q100" si="43">N70-D70</f>
        <v>0</v>
      </c>
      <c r="R70" s="47"/>
    </row>
    <row r="71" spans="1:18" ht="21.65" customHeight="1" x14ac:dyDescent="0.25">
      <c r="A71" s="13"/>
      <c r="B71" s="34" t="s">
        <v>40</v>
      </c>
      <c r="C71" s="58">
        <f t="shared" ref="C71:D71" si="44">SUM(C72:C75)</f>
        <v>4.7</v>
      </c>
      <c r="D71" s="58">
        <f t="shared" si="44"/>
        <v>6.1369999999999996</v>
      </c>
      <c r="E71" s="58">
        <f t="shared" ref="E71" si="45">SUM(E72:E75)</f>
        <v>3.3890000000000002</v>
      </c>
      <c r="F71" s="58">
        <f>SUM(F72:F75)</f>
        <v>2.9850000000000003</v>
      </c>
      <c r="G71" s="58">
        <f t="shared" ref="G71:L71" si="46">SUM(G72:G75)</f>
        <v>3.274</v>
      </c>
      <c r="H71" s="58">
        <f t="shared" si="46"/>
        <v>1.1509999999999998</v>
      </c>
      <c r="I71" s="58">
        <f t="shared" si="46"/>
        <v>10.729000000000001</v>
      </c>
      <c r="J71" s="58">
        <f t="shared" si="46"/>
        <v>8.1549999999999976</v>
      </c>
      <c r="K71" s="59">
        <f t="shared" si="46"/>
        <v>0.8859999999999999</v>
      </c>
      <c r="L71" s="59">
        <f t="shared" si="46"/>
        <v>3.1749999999999998</v>
      </c>
      <c r="M71" s="60">
        <f t="shared" si="33"/>
        <v>18.278000000000002</v>
      </c>
      <c r="N71" s="67">
        <f>N72+N73+N74</f>
        <v>15.465999999999999</v>
      </c>
      <c r="O71" s="45">
        <f t="shared" si="42"/>
        <v>-2.8120000000000029</v>
      </c>
      <c r="P71" s="48">
        <f t="shared" ref="P71:P99" si="47">N71/M71</f>
        <v>0.84615384615384603</v>
      </c>
      <c r="Q71" s="45">
        <f t="shared" si="43"/>
        <v>9.3290000000000006</v>
      </c>
      <c r="R71" s="47"/>
    </row>
    <row r="72" spans="1:18" ht="31.5" customHeight="1" x14ac:dyDescent="0.25">
      <c r="A72" s="13"/>
      <c r="B72" s="33" t="s">
        <v>95</v>
      </c>
      <c r="C72" s="63">
        <v>1.113</v>
      </c>
      <c r="D72" s="70">
        <v>2.524</v>
      </c>
      <c r="E72" s="64">
        <v>3</v>
      </c>
      <c r="F72" s="70">
        <v>1.038</v>
      </c>
      <c r="G72" s="70">
        <v>2.5</v>
      </c>
      <c r="H72" s="70">
        <f>1.974-1.038</f>
        <v>0.93599999999999994</v>
      </c>
      <c r="I72" s="70">
        <v>10</v>
      </c>
      <c r="J72" s="70">
        <f>3.117+12.554-1.974-5.88-0.001</f>
        <v>7.8159999999999989</v>
      </c>
      <c r="K72" s="98">
        <v>0.5</v>
      </c>
      <c r="L72" s="69">
        <f>8.667+3.867-9.79</f>
        <v>2.7439999999999998</v>
      </c>
      <c r="M72" s="60">
        <f t="shared" si="33"/>
        <v>16</v>
      </c>
      <c r="N72" s="67">
        <f>F72+H72+J72+L72</f>
        <v>12.533999999999999</v>
      </c>
      <c r="O72" s="45">
        <f t="shared" si="42"/>
        <v>-3.4660000000000011</v>
      </c>
      <c r="P72" s="48">
        <f t="shared" si="47"/>
        <v>0.78337499999999993</v>
      </c>
      <c r="Q72" s="45">
        <f t="shared" si="43"/>
        <v>10.009999999999998</v>
      </c>
      <c r="R72" s="48">
        <f t="shared" ref="R72:R100" si="48">N72/D72</f>
        <v>4.9659270998415206</v>
      </c>
    </row>
    <row r="73" spans="1:18" x14ac:dyDescent="0.25">
      <c r="A73" s="13"/>
      <c r="B73" s="33" t="s">
        <v>5</v>
      </c>
      <c r="C73" s="63">
        <v>2.5990000000000002</v>
      </c>
      <c r="D73" s="70">
        <v>1.464</v>
      </c>
      <c r="E73" s="64">
        <v>0.2</v>
      </c>
      <c r="F73" s="70">
        <v>1.4359999999999999</v>
      </c>
      <c r="G73" s="70">
        <v>0.58499999999999996</v>
      </c>
      <c r="H73" s="70">
        <f>1.636-1.436</f>
        <v>0.19999999999999996</v>
      </c>
      <c r="I73" s="70">
        <v>0.54100000000000004</v>
      </c>
      <c r="J73" s="70">
        <f>1.948-1.636</f>
        <v>0.31200000000000006</v>
      </c>
      <c r="K73" s="98">
        <v>0.2</v>
      </c>
      <c r="L73" s="69">
        <f>2.379-1.948</f>
        <v>0.43100000000000005</v>
      </c>
      <c r="M73" s="60">
        <f t="shared" si="33"/>
        <v>1.526</v>
      </c>
      <c r="N73" s="67">
        <f t="shared" si="39"/>
        <v>2.379</v>
      </c>
      <c r="O73" s="45">
        <f t="shared" si="42"/>
        <v>0.85299999999999998</v>
      </c>
      <c r="P73" s="48">
        <f t="shared" si="47"/>
        <v>1.5589777195281782</v>
      </c>
      <c r="Q73" s="45">
        <f t="shared" si="43"/>
        <v>0.91500000000000004</v>
      </c>
      <c r="R73" s="48">
        <f t="shared" si="48"/>
        <v>1.625</v>
      </c>
    </row>
    <row r="74" spans="1:18" x14ac:dyDescent="0.25">
      <c r="A74" s="13"/>
      <c r="B74" s="33" t="s">
        <v>56</v>
      </c>
      <c r="C74" s="63">
        <v>0.98799999999999999</v>
      </c>
      <c r="D74" s="70">
        <v>0.83299999999999996</v>
      </c>
      <c r="E74" s="64">
        <v>0.189</v>
      </c>
      <c r="F74" s="70">
        <v>0.51100000000000001</v>
      </c>
      <c r="G74" s="70">
        <v>0.189</v>
      </c>
      <c r="H74" s="70">
        <f>0.526-0.511</f>
        <v>1.5000000000000013E-2</v>
      </c>
      <c r="I74" s="70">
        <v>0.188</v>
      </c>
      <c r="J74" s="70">
        <f>0.553-0.526</f>
        <v>2.7000000000000024E-2</v>
      </c>
      <c r="K74" s="98">
        <v>0.186</v>
      </c>
      <c r="L74" s="69"/>
      <c r="M74" s="60">
        <f t="shared" si="33"/>
        <v>0.752</v>
      </c>
      <c r="N74" s="67">
        <f t="shared" si="39"/>
        <v>0.55300000000000005</v>
      </c>
      <c r="O74" s="45">
        <f t="shared" si="42"/>
        <v>-0.19899999999999995</v>
      </c>
      <c r="P74" s="48">
        <f t="shared" si="47"/>
        <v>0.73537234042553201</v>
      </c>
      <c r="Q74" s="45">
        <f t="shared" si="43"/>
        <v>-0.27999999999999992</v>
      </c>
      <c r="R74" s="48">
        <f t="shared" si="48"/>
        <v>0.66386554621848748</v>
      </c>
    </row>
    <row r="75" spans="1:18" ht="21" x14ac:dyDescent="0.25">
      <c r="A75" s="13"/>
      <c r="B75" s="33" t="s">
        <v>4</v>
      </c>
      <c r="C75" s="63"/>
      <c r="D75" s="71">
        <v>1.3160000000000001</v>
      </c>
      <c r="E75" s="64">
        <v>0</v>
      </c>
      <c r="F75" s="71">
        <v>0</v>
      </c>
      <c r="G75" s="71"/>
      <c r="H75" s="71"/>
      <c r="I75" s="71"/>
      <c r="J75" s="71"/>
      <c r="K75" s="98"/>
      <c r="L75" s="68"/>
      <c r="M75" s="60">
        <f t="shared" si="33"/>
        <v>0</v>
      </c>
      <c r="N75" s="67">
        <f t="shared" si="39"/>
        <v>0</v>
      </c>
      <c r="O75" s="45">
        <f t="shared" si="42"/>
        <v>0</v>
      </c>
      <c r="P75" s="48"/>
      <c r="Q75" s="45">
        <f t="shared" si="43"/>
        <v>-1.3160000000000001</v>
      </c>
      <c r="R75" s="47">
        <f t="shared" si="48"/>
        <v>0</v>
      </c>
    </row>
    <row r="76" spans="1:18" x14ac:dyDescent="0.25">
      <c r="A76" s="13"/>
      <c r="B76" s="34" t="s">
        <v>36</v>
      </c>
      <c r="C76" s="58">
        <f t="shared" ref="C76:D76" si="49">SUM(C77:C80)</f>
        <v>8.4610000000000003</v>
      </c>
      <c r="D76" s="58">
        <f t="shared" si="49"/>
        <v>9.0250000000000004</v>
      </c>
      <c r="E76" s="58">
        <f t="shared" ref="E76" si="50">SUM(E77:E80)</f>
        <v>1.9330000000000001</v>
      </c>
      <c r="F76" s="58">
        <f>SUM(F77:F80)</f>
        <v>2.3319999999999999</v>
      </c>
      <c r="G76" s="58">
        <f t="shared" ref="G76:L76" si="51">SUM(G77:G80)</f>
        <v>2.0180000000000002</v>
      </c>
      <c r="H76" s="58">
        <f t="shared" si="51"/>
        <v>2.2489999999999997</v>
      </c>
      <c r="I76" s="58">
        <f t="shared" si="51"/>
        <v>2.718</v>
      </c>
      <c r="J76" s="58">
        <f t="shared" si="51"/>
        <v>2.2050000000000001</v>
      </c>
      <c r="K76" s="59">
        <f t="shared" si="51"/>
        <v>1.92</v>
      </c>
      <c r="L76" s="59">
        <f t="shared" si="51"/>
        <v>2.1880000000000006</v>
      </c>
      <c r="M76" s="60">
        <f t="shared" si="33"/>
        <v>8.5890000000000004</v>
      </c>
      <c r="N76" s="67">
        <f>N77+N78+N79+N80</f>
        <v>8.9740000000000002</v>
      </c>
      <c r="O76" s="45">
        <f t="shared" si="42"/>
        <v>0.38499999999999979</v>
      </c>
      <c r="P76" s="48">
        <f t="shared" si="47"/>
        <v>1.0448247758761207</v>
      </c>
      <c r="Q76" s="45">
        <f t="shared" si="43"/>
        <v>-5.1000000000000156E-2</v>
      </c>
      <c r="R76" s="48">
        <f>R7</f>
        <v>1.2097388665839257</v>
      </c>
    </row>
    <row r="77" spans="1:18" x14ac:dyDescent="0.25">
      <c r="A77" s="13"/>
      <c r="B77" s="34" t="s">
        <v>75</v>
      </c>
      <c r="C77" s="58">
        <v>1.1950000000000001</v>
      </c>
      <c r="D77" s="58">
        <v>1.1950000000000001</v>
      </c>
      <c r="E77" s="58">
        <v>0.29899999999999999</v>
      </c>
      <c r="F77" s="58">
        <v>0.19900000000000001</v>
      </c>
      <c r="G77" s="58">
        <v>0.29799999999999999</v>
      </c>
      <c r="H77" s="58">
        <f>0.199</f>
        <v>0.19900000000000001</v>
      </c>
      <c r="I77" s="58">
        <v>0.29899999999999999</v>
      </c>
      <c r="J77" s="58">
        <v>0.19900000000000001</v>
      </c>
      <c r="K77" s="96">
        <v>0.29899999999999999</v>
      </c>
      <c r="L77" s="59">
        <f>0.399+0.199</f>
        <v>0.59800000000000009</v>
      </c>
      <c r="M77" s="60">
        <f t="shared" si="33"/>
        <v>1.1949999999999998</v>
      </c>
      <c r="N77" s="67">
        <f t="shared" si="39"/>
        <v>1.1950000000000001</v>
      </c>
      <c r="O77" s="45">
        <f t="shared" si="42"/>
        <v>0</v>
      </c>
      <c r="P77" s="48">
        <f t="shared" si="47"/>
        <v>1.0000000000000002</v>
      </c>
      <c r="Q77" s="45">
        <f t="shared" si="43"/>
        <v>0</v>
      </c>
      <c r="R77" s="48">
        <f t="shared" si="48"/>
        <v>1</v>
      </c>
    </row>
    <row r="78" spans="1:18" x14ac:dyDescent="0.25">
      <c r="A78" s="13"/>
      <c r="B78" s="33" t="s">
        <v>27</v>
      </c>
      <c r="C78" s="63">
        <v>0.66100000000000003</v>
      </c>
      <c r="D78" s="70">
        <v>0.14499999999999999</v>
      </c>
      <c r="E78" s="64">
        <v>0</v>
      </c>
      <c r="F78" s="70">
        <v>0</v>
      </c>
      <c r="G78" s="70">
        <v>0</v>
      </c>
      <c r="H78" s="70">
        <v>0</v>
      </c>
      <c r="I78" s="70">
        <v>0</v>
      </c>
      <c r="J78" s="70"/>
      <c r="K78" s="98">
        <v>0</v>
      </c>
      <c r="L78" s="69"/>
      <c r="M78" s="60">
        <f t="shared" si="33"/>
        <v>0</v>
      </c>
      <c r="N78" s="67">
        <f t="shared" si="39"/>
        <v>0</v>
      </c>
      <c r="O78" s="45">
        <f t="shared" si="42"/>
        <v>0</v>
      </c>
      <c r="P78" s="48"/>
      <c r="Q78" s="45">
        <f t="shared" si="43"/>
        <v>-0.14499999999999999</v>
      </c>
      <c r="R78" s="47">
        <f t="shared" si="48"/>
        <v>0</v>
      </c>
    </row>
    <row r="79" spans="1:18" x14ac:dyDescent="0.25">
      <c r="A79" s="13"/>
      <c r="B79" s="33" t="s">
        <v>6</v>
      </c>
      <c r="C79" s="63">
        <v>5.1239999999999997</v>
      </c>
      <c r="D79" s="70">
        <v>6.2309999999999999</v>
      </c>
      <c r="E79" s="64">
        <v>1.4750000000000001</v>
      </c>
      <c r="F79" s="70">
        <v>1.5580000000000001</v>
      </c>
      <c r="G79" s="70">
        <v>1.4750000000000001</v>
      </c>
      <c r="H79" s="70">
        <f>3.135-1.558</f>
        <v>1.5769999999999997</v>
      </c>
      <c r="I79" s="70">
        <v>1.4750000000000001</v>
      </c>
      <c r="J79" s="70">
        <f>4.693-3.135</f>
        <v>1.5579999999999998</v>
      </c>
      <c r="K79" s="98">
        <v>1.476</v>
      </c>
      <c r="L79" s="69">
        <f>6.251-4.693</f>
        <v>1.5580000000000007</v>
      </c>
      <c r="M79" s="60">
        <f t="shared" si="33"/>
        <v>5.9010000000000007</v>
      </c>
      <c r="N79" s="67">
        <f t="shared" si="39"/>
        <v>6.2510000000000003</v>
      </c>
      <c r="O79" s="45">
        <f t="shared" si="42"/>
        <v>0.34999999999999964</v>
      </c>
      <c r="P79" s="48">
        <f t="shared" si="47"/>
        <v>1.0593119810201661</v>
      </c>
      <c r="Q79" s="45">
        <f t="shared" si="43"/>
        <v>2.0000000000000462E-2</v>
      </c>
      <c r="R79" s="48">
        <f t="shared" si="48"/>
        <v>1.0032097576632966</v>
      </c>
    </row>
    <row r="80" spans="1:18" x14ac:dyDescent="0.25">
      <c r="A80" s="13"/>
      <c r="B80" s="33" t="s">
        <v>28</v>
      </c>
      <c r="C80" s="63">
        <v>1.4810000000000001</v>
      </c>
      <c r="D80" s="70">
        <v>1.454</v>
      </c>
      <c r="E80" s="64">
        <f>0.144+0.015</f>
        <v>0.15899999999999997</v>
      </c>
      <c r="F80" s="70">
        <f>0.774-0.199</f>
        <v>0.57499999999999996</v>
      </c>
      <c r="G80" s="70">
        <v>0.245</v>
      </c>
      <c r="H80" s="70">
        <v>0.47299999999999998</v>
      </c>
      <c r="I80" s="70">
        <v>0.94399999999999995</v>
      </c>
      <c r="J80" s="70">
        <f>0.298+0.19-0.04</f>
        <v>0.44800000000000001</v>
      </c>
      <c r="K80" s="98">
        <v>0.14499999999999999</v>
      </c>
      <c r="L80" s="69">
        <f>2.724-1.496-0.598-0.598</f>
        <v>3.200000000000025E-2</v>
      </c>
      <c r="M80" s="60">
        <f t="shared" si="33"/>
        <v>1.4929999999999999</v>
      </c>
      <c r="N80" s="67">
        <f t="shared" si="39"/>
        <v>1.5280000000000002</v>
      </c>
      <c r="O80" s="45">
        <f t="shared" si="42"/>
        <v>3.5000000000000364E-2</v>
      </c>
      <c r="P80" s="48">
        <f t="shared" si="47"/>
        <v>1.0234427327528468</v>
      </c>
      <c r="Q80" s="45">
        <f t="shared" si="43"/>
        <v>7.4000000000000288E-2</v>
      </c>
      <c r="R80" s="48">
        <f t="shared" si="48"/>
        <v>1.050894085281981</v>
      </c>
    </row>
    <row r="81" spans="1:18" x14ac:dyDescent="0.25">
      <c r="A81" s="13"/>
      <c r="B81" s="28" t="s">
        <v>38</v>
      </c>
      <c r="C81" s="58">
        <f t="shared" ref="C81:D81" si="52">SUM(C82:C88)</f>
        <v>131.75299999999999</v>
      </c>
      <c r="D81" s="58">
        <f t="shared" si="52"/>
        <v>105.08800000000001</v>
      </c>
      <c r="E81" s="58">
        <f t="shared" ref="E81" si="53">SUM(E82:E88)</f>
        <v>33.597999999999999</v>
      </c>
      <c r="F81" s="58">
        <f>SUM(F82:F88)</f>
        <v>33.664000000000001</v>
      </c>
      <c r="G81" s="58">
        <f t="shared" ref="G81:J81" si="54">SUM(G82:G88)</f>
        <v>34.059999999999995</v>
      </c>
      <c r="H81" s="58">
        <f t="shared" si="54"/>
        <v>25.97</v>
      </c>
      <c r="I81" s="58">
        <f t="shared" si="54"/>
        <v>32.275999999999996</v>
      </c>
      <c r="J81" s="58">
        <f t="shared" si="54"/>
        <v>32.615000000000002</v>
      </c>
      <c r="K81" s="59">
        <f t="shared" ref="K81:L81" si="55">SUM(K82:K88)</f>
        <v>33.39</v>
      </c>
      <c r="L81" s="59">
        <f t="shared" si="55"/>
        <v>34.597000000000008</v>
      </c>
      <c r="M81" s="60">
        <f t="shared" si="33"/>
        <v>133.32399999999998</v>
      </c>
      <c r="N81" s="67">
        <f t="shared" si="39"/>
        <v>126.846</v>
      </c>
      <c r="O81" s="45">
        <f t="shared" si="42"/>
        <v>-6.4779999999999802</v>
      </c>
      <c r="P81" s="48">
        <f t="shared" si="47"/>
        <v>0.95141159881191695</v>
      </c>
      <c r="Q81" s="45">
        <f t="shared" si="43"/>
        <v>21.757999999999996</v>
      </c>
      <c r="R81" s="48">
        <f t="shared" si="48"/>
        <v>1.2070455237515225</v>
      </c>
    </row>
    <row r="82" spans="1:18" x14ac:dyDescent="0.25">
      <c r="A82" s="13"/>
      <c r="B82" s="37" t="s">
        <v>29</v>
      </c>
      <c r="C82" s="63">
        <v>72.173000000000002</v>
      </c>
      <c r="D82" s="70">
        <v>55.354999999999997</v>
      </c>
      <c r="E82" s="64">
        <v>18</v>
      </c>
      <c r="F82" s="70">
        <v>18.231000000000002</v>
      </c>
      <c r="G82" s="70">
        <v>17</v>
      </c>
      <c r="H82" s="70">
        <f>29.685-18.231</f>
        <v>11.453999999999997</v>
      </c>
      <c r="I82" s="70">
        <v>17</v>
      </c>
      <c r="J82" s="70">
        <v>14.295</v>
      </c>
      <c r="K82" s="98">
        <v>17</v>
      </c>
      <c r="L82" s="69">
        <f>60.484-43.98</f>
        <v>16.504000000000005</v>
      </c>
      <c r="M82" s="60">
        <f t="shared" si="33"/>
        <v>69</v>
      </c>
      <c r="N82" s="67">
        <f t="shared" si="39"/>
        <v>60.484000000000002</v>
      </c>
      <c r="O82" s="45">
        <f t="shared" si="42"/>
        <v>-8.5159999999999982</v>
      </c>
      <c r="P82" s="48">
        <f t="shared" si="47"/>
        <v>0.87657971014492753</v>
      </c>
      <c r="Q82" s="45">
        <f t="shared" si="43"/>
        <v>5.1290000000000049</v>
      </c>
      <c r="R82" s="48">
        <f t="shared" si="48"/>
        <v>1.0926564899286424</v>
      </c>
    </row>
    <row r="83" spans="1:18" x14ac:dyDescent="0.25">
      <c r="A83" s="13"/>
      <c r="B83" s="37" t="s">
        <v>30</v>
      </c>
      <c r="C83" s="63">
        <v>9.5890000000000004</v>
      </c>
      <c r="D83" s="70">
        <v>9.6720000000000006</v>
      </c>
      <c r="E83" s="64">
        <v>2.3969999999999998</v>
      </c>
      <c r="F83" s="70">
        <f>1.793+0.625</f>
        <v>2.4180000000000001</v>
      </c>
      <c r="G83" s="70">
        <v>2.3969999999999998</v>
      </c>
      <c r="H83" s="70">
        <f>3.586+1.25-2.418</f>
        <v>2.4180000000000001</v>
      </c>
      <c r="I83" s="70">
        <v>2.3969999999999998</v>
      </c>
      <c r="J83" s="70">
        <f>1.876+5.378-4.836</f>
        <v>2.4179999999999993</v>
      </c>
      <c r="K83" s="98">
        <v>2.3969999999999998</v>
      </c>
      <c r="L83" s="69">
        <f>10.278-7.254</f>
        <v>3.0240000000000009</v>
      </c>
      <c r="M83" s="60">
        <f t="shared" si="33"/>
        <v>9.5879999999999992</v>
      </c>
      <c r="N83" s="67">
        <f t="shared" si="39"/>
        <v>10.278</v>
      </c>
      <c r="O83" s="45">
        <f t="shared" si="42"/>
        <v>0.69000000000000128</v>
      </c>
      <c r="P83" s="48">
        <f t="shared" si="47"/>
        <v>1.0719649561952442</v>
      </c>
      <c r="Q83" s="45">
        <f t="shared" si="43"/>
        <v>0.60599999999999987</v>
      </c>
      <c r="R83" s="48">
        <f t="shared" si="48"/>
        <v>1.0626550868486353</v>
      </c>
    </row>
    <row r="84" spans="1:18" x14ac:dyDescent="0.25">
      <c r="A84" s="13"/>
      <c r="B84" s="37" t="s">
        <v>31</v>
      </c>
      <c r="C84" s="63">
        <v>24.170999999999999</v>
      </c>
      <c r="D84" s="70">
        <v>18.395</v>
      </c>
      <c r="E84" s="64">
        <v>6.8559999999999999</v>
      </c>
      <c r="F84" s="70">
        <v>6.258</v>
      </c>
      <c r="G84" s="70">
        <v>7.9530000000000003</v>
      </c>
      <c r="H84" s="70">
        <f>11.817-6.258</f>
        <v>5.5590000000000002</v>
      </c>
      <c r="I84" s="70">
        <v>6.79</v>
      </c>
      <c r="J84" s="70">
        <f>18.786-11.817</f>
        <v>6.9690000000000012</v>
      </c>
      <c r="K84" s="99">
        <v>7.1859999999999999</v>
      </c>
      <c r="L84" s="69">
        <f>24.729-18.786</f>
        <v>5.9429999999999978</v>
      </c>
      <c r="M84" s="60">
        <f t="shared" si="33"/>
        <v>28.785</v>
      </c>
      <c r="N84" s="67">
        <f t="shared" si="39"/>
        <v>24.728999999999999</v>
      </c>
      <c r="O84" s="45">
        <f t="shared" si="42"/>
        <v>-4.0560000000000009</v>
      </c>
      <c r="P84" s="48">
        <f t="shared" si="47"/>
        <v>0.85909327774882749</v>
      </c>
      <c r="Q84" s="45">
        <f t="shared" si="43"/>
        <v>6.3339999999999996</v>
      </c>
      <c r="R84" s="48">
        <f t="shared" si="48"/>
        <v>1.3443326991030171</v>
      </c>
    </row>
    <row r="85" spans="1:18" ht="20.5" customHeight="1" x14ac:dyDescent="0.25">
      <c r="A85" s="13"/>
      <c r="B85" s="33" t="s">
        <v>78</v>
      </c>
      <c r="C85" s="63">
        <v>19.02</v>
      </c>
      <c r="D85" s="70">
        <v>15.617000000000001</v>
      </c>
      <c r="E85" s="64">
        <v>4.7450000000000001</v>
      </c>
      <c r="F85" s="70">
        <v>5.0519999999999996</v>
      </c>
      <c r="G85" s="70">
        <v>5.0599999999999996</v>
      </c>
      <c r="H85" s="70">
        <f>10.182-5.052</f>
        <v>5.1300000000000008</v>
      </c>
      <c r="I85" s="70">
        <v>4.4390000000000001</v>
      </c>
      <c r="J85" s="70">
        <f>17.682-10.182</f>
        <v>7.4999999999999982</v>
      </c>
      <c r="K85" s="99">
        <v>5.1719999999999997</v>
      </c>
      <c r="L85" s="69">
        <f>21.284-17.682</f>
        <v>3.6020000000000003</v>
      </c>
      <c r="M85" s="60">
        <f t="shared" si="33"/>
        <v>19.416</v>
      </c>
      <c r="N85" s="67">
        <f t="shared" si="39"/>
        <v>21.283999999999999</v>
      </c>
      <c r="O85" s="45">
        <f t="shared" si="42"/>
        <v>1.8679999999999986</v>
      </c>
      <c r="P85" s="48">
        <f t="shared" si="47"/>
        <v>1.096209311907705</v>
      </c>
      <c r="Q85" s="45">
        <f t="shared" si="43"/>
        <v>5.666999999999998</v>
      </c>
      <c r="R85" s="48">
        <f t="shared" si="48"/>
        <v>1.362873791381187</v>
      </c>
    </row>
    <row r="86" spans="1:18" x14ac:dyDescent="0.25">
      <c r="A86" s="13"/>
      <c r="B86" s="33" t="s">
        <v>32</v>
      </c>
      <c r="C86" s="63">
        <v>3.3000000000000002E-2</v>
      </c>
      <c r="D86" s="70">
        <v>3.4000000000000002E-2</v>
      </c>
      <c r="E86" s="64">
        <v>0</v>
      </c>
      <c r="F86" s="70">
        <v>0</v>
      </c>
      <c r="G86" s="70"/>
      <c r="H86" s="70">
        <v>0</v>
      </c>
      <c r="I86" s="70"/>
      <c r="J86" s="70"/>
      <c r="K86" s="98">
        <v>3.5000000000000003E-2</v>
      </c>
      <c r="L86" s="69">
        <v>0.02</v>
      </c>
      <c r="M86" s="60">
        <f t="shared" si="33"/>
        <v>3.5000000000000003E-2</v>
      </c>
      <c r="N86" s="67">
        <f t="shared" si="39"/>
        <v>0.02</v>
      </c>
      <c r="O86" s="45">
        <f t="shared" si="42"/>
        <v>-1.5000000000000003E-2</v>
      </c>
      <c r="P86" s="48"/>
      <c r="Q86" s="45">
        <f t="shared" si="43"/>
        <v>-1.4000000000000002E-2</v>
      </c>
      <c r="R86" s="48">
        <f t="shared" si="48"/>
        <v>0.58823529411764708</v>
      </c>
    </row>
    <row r="87" spans="1:18" x14ac:dyDescent="0.25">
      <c r="A87" s="13"/>
      <c r="B87" s="38" t="s">
        <v>33</v>
      </c>
      <c r="C87" s="63">
        <v>0.622</v>
      </c>
      <c r="D87" s="71">
        <v>0</v>
      </c>
      <c r="E87" s="64">
        <v>0</v>
      </c>
      <c r="F87" s="71">
        <v>0</v>
      </c>
      <c r="G87" s="71"/>
      <c r="H87" s="71">
        <v>0</v>
      </c>
      <c r="I87" s="71"/>
      <c r="J87" s="71"/>
      <c r="K87" s="98">
        <v>0</v>
      </c>
      <c r="L87" s="68">
        <v>3.95</v>
      </c>
      <c r="M87" s="60">
        <f t="shared" si="33"/>
        <v>0</v>
      </c>
      <c r="N87" s="67">
        <f t="shared" si="39"/>
        <v>3.95</v>
      </c>
      <c r="O87" s="45">
        <f t="shared" si="42"/>
        <v>3.95</v>
      </c>
      <c r="P87" s="48"/>
      <c r="Q87" s="45">
        <f t="shared" si="43"/>
        <v>3.95</v>
      </c>
      <c r="R87" s="47"/>
    </row>
    <row r="88" spans="1:18" x14ac:dyDescent="0.25">
      <c r="A88" s="13"/>
      <c r="B88" s="39" t="s">
        <v>79</v>
      </c>
      <c r="C88" s="63">
        <v>6.1449999999999996</v>
      </c>
      <c r="D88" s="70">
        <v>6.0149999999999997</v>
      </c>
      <c r="E88" s="64">
        <v>1.6</v>
      </c>
      <c r="F88" s="70">
        <f>1.705</f>
        <v>1.7050000000000001</v>
      </c>
      <c r="G88" s="70">
        <v>1.65</v>
      </c>
      <c r="H88" s="70">
        <f>3.114-1.705</f>
        <v>1.4089999999999998</v>
      </c>
      <c r="I88" s="70">
        <v>1.65</v>
      </c>
      <c r="J88" s="70">
        <v>1.4330000000000001</v>
      </c>
      <c r="K88" s="98">
        <v>1.6</v>
      </c>
      <c r="L88" s="69">
        <f>6.101-4.547</f>
        <v>1.5540000000000003</v>
      </c>
      <c r="M88" s="60">
        <f t="shared" si="33"/>
        <v>6.5</v>
      </c>
      <c r="N88" s="67">
        <f t="shared" si="39"/>
        <v>6.101</v>
      </c>
      <c r="O88" s="45">
        <f t="shared" si="42"/>
        <v>-0.39900000000000002</v>
      </c>
      <c r="P88" s="48">
        <f t="shared" si="47"/>
        <v>0.93861538461538463</v>
      </c>
      <c r="Q88" s="45">
        <f t="shared" si="43"/>
        <v>8.6000000000000298E-2</v>
      </c>
      <c r="R88" s="48">
        <f t="shared" si="48"/>
        <v>1.0142975893599335</v>
      </c>
    </row>
    <row r="89" spans="1:18" ht="20.149999999999999" customHeight="1" x14ac:dyDescent="0.25">
      <c r="A89" s="13"/>
      <c r="B89" s="39" t="s">
        <v>94</v>
      </c>
      <c r="C89" s="63"/>
      <c r="D89" s="70"/>
      <c r="E89" s="64"/>
      <c r="F89" s="70"/>
      <c r="G89" s="70"/>
      <c r="H89" s="70"/>
      <c r="I89" s="70"/>
      <c r="J89" s="70"/>
      <c r="K89" s="98"/>
      <c r="L89" s="69"/>
      <c r="M89" s="60">
        <f t="shared" si="33"/>
        <v>0</v>
      </c>
      <c r="N89" s="67">
        <f t="shared" si="39"/>
        <v>0</v>
      </c>
      <c r="O89" s="45">
        <f t="shared" si="42"/>
        <v>0</v>
      </c>
      <c r="P89" s="48"/>
      <c r="Q89" s="45">
        <f t="shared" si="43"/>
        <v>0</v>
      </c>
      <c r="R89" s="47"/>
    </row>
    <row r="90" spans="1:18" ht="22" customHeight="1" x14ac:dyDescent="0.25">
      <c r="A90" s="13"/>
      <c r="B90" s="34" t="s">
        <v>19</v>
      </c>
      <c r="C90" s="63">
        <v>65.576999999999998</v>
      </c>
      <c r="D90" s="71">
        <v>72.953999999999994</v>
      </c>
      <c r="E90" s="64">
        <v>13.95</v>
      </c>
      <c r="F90" s="71">
        <f>18.631+0.601</f>
        <v>19.231999999999999</v>
      </c>
      <c r="G90" s="71">
        <v>13.95</v>
      </c>
      <c r="H90" s="71">
        <f>38.424-19.232</f>
        <v>19.192</v>
      </c>
      <c r="I90" s="71">
        <v>13.95</v>
      </c>
      <c r="J90" s="71">
        <f>55.807+1.814-38.424-0.011</f>
        <v>19.186000000000003</v>
      </c>
      <c r="K90" s="98">
        <v>13.95</v>
      </c>
      <c r="L90" s="59">
        <f>64.217+2.437-57.61</f>
        <v>9.0439999999999969</v>
      </c>
      <c r="M90" s="60">
        <f t="shared" si="33"/>
        <v>55.8</v>
      </c>
      <c r="N90" s="67">
        <f t="shared" si="39"/>
        <v>66.653999999999996</v>
      </c>
      <c r="O90" s="45">
        <f t="shared" si="42"/>
        <v>10.853999999999999</v>
      </c>
      <c r="P90" s="48">
        <f t="shared" si="47"/>
        <v>1.1945161290322581</v>
      </c>
      <c r="Q90" s="45">
        <f t="shared" si="43"/>
        <v>-6.2999999999999972</v>
      </c>
      <c r="R90" s="48">
        <f>N90/D90</f>
        <v>0.91364421416234887</v>
      </c>
    </row>
    <row r="91" spans="1:18" x14ac:dyDescent="0.25">
      <c r="A91" s="13"/>
      <c r="B91" s="34" t="s">
        <v>39</v>
      </c>
      <c r="C91" s="58">
        <f>C92</f>
        <v>19.042000000000002</v>
      </c>
      <c r="D91" s="58">
        <f>D92</f>
        <v>30.507999999999999</v>
      </c>
      <c r="E91" s="72">
        <f t="shared" ref="E91" si="56">E92</f>
        <v>7.6269999999999998</v>
      </c>
      <c r="F91" s="70">
        <f>F92</f>
        <v>7.6269999999999998</v>
      </c>
      <c r="G91" s="70">
        <f t="shared" ref="G91:J91" si="57">G92</f>
        <v>7.6269999999999998</v>
      </c>
      <c r="H91" s="70">
        <f t="shared" si="57"/>
        <v>7.6269999999999998</v>
      </c>
      <c r="I91" s="70">
        <f t="shared" si="57"/>
        <v>7.6269999999999998</v>
      </c>
      <c r="J91" s="70">
        <f t="shared" si="57"/>
        <v>7.6269999999999998</v>
      </c>
      <c r="K91" s="59">
        <f t="shared" ref="K91" si="58">K92</f>
        <v>7.6269999999999998</v>
      </c>
      <c r="L91" s="69">
        <f>L92</f>
        <v>7.6269999999999998</v>
      </c>
      <c r="M91" s="60">
        <f t="shared" si="33"/>
        <v>30.507999999999999</v>
      </c>
      <c r="N91" s="67">
        <f t="shared" si="39"/>
        <v>30.507999999999999</v>
      </c>
      <c r="O91" s="45">
        <f t="shared" si="42"/>
        <v>0</v>
      </c>
      <c r="P91" s="48">
        <f t="shared" si="47"/>
        <v>1</v>
      </c>
      <c r="Q91" s="45">
        <f t="shared" si="43"/>
        <v>0</v>
      </c>
      <c r="R91" s="48">
        <f t="shared" si="48"/>
        <v>1</v>
      </c>
    </row>
    <row r="92" spans="1:18" x14ac:dyDescent="0.25">
      <c r="A92" s="13"/>
      <c r="B92" s="33" t="s">
        <v>3</v>
      </c>
      <c r="C92" s="63">
        <v>19.042000000000002</v>
      </c>
      <c r="D92" s="71">
        <v>30.507999999999999</v>
      </c>
      <c r="E92" s="58">
        <v>7.6269999999999998</v>
      </c>
      <c r="F92" s="71">
        <v>7.6269999999999998</v>
      </c>
      <c r="G92" s="71">
        <v>7.6269999999999998</v>
      </c>
      <c r="H92" s="71">
        <v>7.6269999999999998</v>
      </c>
      <c r="I92" s="71">
        <v>7.6269999999999998</v>
      </c>
      <c r="J92" s="71">
        <v>7.6269999999999998</v>
      </c>
      <c r="K92" s="59">
        <v>7.6269999999999998</v>
      </c>
      <c r="L92" s="68">
        <v>7.6269999999999998</v>
      </c>
      <c r="M92" s="60">
        <f t="shared" si="33"/>
        <v>30.507999999999999</v>
      </c>
      <c r="N92" s="67">
        <f t="shared" si="39"/>
        <v>30.507999999999999</v>
      </c>
      <c r="O92" s="45">
        <f t="shared" si="42"/>
        <v>0</v>
      </c>
      <c r="P92" s="48">
        <f t="shared" si="47"/>
        <v>1</v>
      </c>
      <c r="Q92" s="45">
        <f t="shared" si="43"/>
        <v>0</v>
      </c>
      <c r="R92" s="48">
        <f t="shared" si="48"/>
        <v>1</v>
      </c>
    </row>
    <row r="93" spans="1:18" ht="21.65" customHeight="1" x14ac:dyDescent="0.25">
      <c r="A93" s="13"/>
      <c r="B93" s="40" t="s">
        <v>64</v>
      </c>
      <c r="C93" s="58">
        <f>SUM(C94:C98)</f>
        <v>5.99</v>
      </c>
      <c r="D93" s="58">
        <f t="shared" ref="D93" si="59">SUM(D94:D97)</f>
        <v>0.46400000000000002</v>
      </c>
      <c r="E93" s="61">
        <f t="shared" ref="E93" si="60">SUM(E94:E97)</f>
        <v>0</v>
      </c>
      <c r="F93" s="58">
        <f>F94+F95+F96+F97</f>
        <v>0.255</v>
      </c>
      <c r="G93" s="58">
        <f t="shared" ref="G93:J93" si="61">G94+G95+G96+G97</f>
        <v>0.2</v>
      </c>
      <c r="H93" s="58">
        <f t="shared" si="61"/>
        <v>1.0000000000000002E-2</v>
      </c>
      <c r="I93" s="58">
        <f t="shared" si="61"/>
        <v>0.01</v>
      </c>
      <c r="J93" s="58">
        <f t="shared" si="61"/>
        <v>0</v>
      </c>
      <c r="K93" s="62">
        <f t="shared" ref="K93" si="62">SUM(K94:K97)</f>
        <v>0</v>
      </c>
      <c r="L93" s="59">
        <f>L94+L95+L95+L96+L97+L98</f>
        <v>17.691999999999997</v>
      </c>
      <c r="M93" s="60">
        <f t="shared" si="33"/>
        <v>0.21000000000000002</v>
      </c>
      <c r="N93" s="67">
        <f>F93+H93+J93+L93</f>
        <v>17.956999999999997</v>
      </c>
      <c r="O93" s="45">
        <f t="shared" si="42"/>
        <v>17.746999999999996</v>
      </c>
      <c r="P93" s="48"/>
      <c r="Q93" s="45">
        <f t="shared" si="43"/>
        <v>17.492999999999999</v>
      </c>
      <c r="R93" s="48">
        <f t="shared" si="48"/>
        <v>38.700431034482747</v>
      </c>
    </row>
    <row r="94" spans="1:18" ht="23.5" customHeight="1" x14ac:dyDescent="0.25">
      <c r="A94" s="13"/>
      <c r="B94" s="77" t="s">
        <v>91</v>
      </c>
      <c r="C94" s="63">
        <v>2.4860000000000002</v>
      </c>
      <c r="D94" s="73">
        <v>0.19400000000000001</v>
      </c>
      <c r="E94" s="64"/>
      <c r="F94" s="73">
        <v>0</v>
      </c>
      <c r="G94" s="73"/>
      <c r="H94" s="73"/>
      <c r="I94" s="73"/>
      <c r="J94" s="73"/>
      <c r="K94" s="98">
        <v>0</v>
      </c>
      <c r="L94" s="74">
        <f>30.58-9.395-0.021-5.454</f>
        <v>15.709999999999997</v>
      </c>
      <c r="M94" s="60">
        <f t="shared" si="33"/>
        <v>0</v>
      </c>
      <c r="N94" s="67">
        <f t="shared" si="39"/>
        <v>15.709999999999997</v>
      </c>
      <c r="O94" s="45">
        <f t="shared" si="42"/>
        <v>15.709999999999997</v>
      </c>
      <c r="P94" s="48"/>
      <c r="Q94" s="45">
        <f t="shared" si="43"/>
        <v>15.515999999999996</v>
      </c>
      <c r="R94" s="47"/>
    </row>
    <row r="95" spans="1:18" x14ac:dyDescent="0.25">
      <c r="A95" s="13"/>
      <c r="B95" s="31" t="s">
        <v>84</v>
      </c>
      <c r="C95" s="23"/>
      <c r="D95" s="58"/>
      <c r="E95" s="64"/>
      <c r="F95" s="58">
        <v>0</v>
      </c>
      <c r="G95" s="58"/>
      <c r="H95" s="58"/>
      <c r="I95" s="58"/>
      <c r="J95" s="58"/>
      <c r="K95" s="98"/>
      <c r="L95" s="59"/>
      <c r="M95" s="60">
        <f t="shared" si="33"/>
        <v>0</v>
      </c>
      <c r="N95" s="67">
        <f t="shared" si="39"/>
        <v>0</v>
      </c>
      <c r="O95" s="45">
        <f t="shared" si="42"/>
        <v>0</v>
      </c>
      <c r="P95" s="48"/>
      <c r="Q95" s="45">
        <f t="shared" si="43"/>
        <v>0</v>
      </c>
      <c r="R95" s="47"/>
    </row>
    <row r="96" spans="1:18" x14ac:dyDescent="0.25">
      <c r="A96" s="13"/>
      <c r="B96" s="33" t="s">
        <v>65</v>
      </c>
      <c r="C96" s="61">
        <v>7.4999999999999997E-2</v>
      </c>
      <c r="D96" s="71">
        <v>0.26</v>
      </c>
      <c r="E96" s="61">
        <v>0</v>
      </c>
      <c r="F96" s="71">
        <v>1.0999999999999999E-2</v>
      </c>
      <c r="G96" s="71">
        <v>0.2</v>
      </c>
      <c r="H96" s="71">
        <f>0.021-0.011</f>
        <v>1.0000000000000002E-2</v>
      </c>
      <c r="I96" s="71">
        <v>0.01</v>
      </c>
      <c r="J96" s="71"/>
      <c r="K96" s="97">
        <v>0</v>
      </c>
      <c r="L96" s="68">
        <f>0.021-0.021</f>
        <v>0</v>
      </c>
      <c r="M96" s="60">
        <f t="shared" si="33"/>
        <v>0.21000000000000002</v>
      </c>
      <c r="N96" s="67">
        <f t="shared" si="39"/>
        <v>2.1000000000000001E-2</v>
      </c>
      <c r="O96" s="45">
        <f t="shared" si="42"/>
        <v>-0.18900000000000003</v>
      </c>
      <c r="P96" s="48"/>
      <c r="Q96" s="45">
        <f t="shared" si="43"/>
        <v>-0.23900000000000002</v>
      </c>
      <c r="R96" s="48">
        <f t="shared" si="48"/>
        <v>8.0769230769230774E-2</v>
      </c>
    </row>
    <row r="97" spans="1:18" x14ac:dyDescent="0.25">
      <c r="A97" s="13"/>
      <c r="B97" s="33" t="s">
        <v>18</v>
      </c>
      <c r="C97" s="61">
        <v>0.08</v>
      </c>
      <c r="D97" s="70">
        <v>0.01</v>
      </c>
      <c r="E97" s="64">
        <v>0</v>
      </c>
      <c r="F97" s="70">
        <v>0.24399999999999999</v>
      </c>
      <c r="G97" s="70"/>
      <c r="H97" s="70"/>
      <c r="I97" s="70"/>
      <c r="J97" s="70">
        <v>0</v>
      </c>
      <c r="K97" s="98">
        <v>0</v>
      </c>
      <c r="L97" s="69">
        <v>8.0000000000000002E-3</v>
      </c>
      <c r="M97" s="60">
        <f t="shared" si="33"/>
        <v>0</v>
      </c>
      <c r="N97" s="67">
        <f t="shared" si="39"/>
        <v>0.252</v>
      </c>
      <c r="O97" s="45">
        <f t="shared" si="42"/>
        <v>0.252</v>
      </c>
      <c r="P97" s="48"/>
      <c r="Q97" s="45">
        <f t="shared" si="43"/>
        <v>0.24199999999999999</v>
      </c>
      <c r="R97" s="47"/>
    </row>
    <row r="98" spans="1:18" ht="21" x14ac:dyDescent="0.25">
      <c r="A98" s="13"/>
      <c r="B98" s="33" t="s">
        <v>96</v>
      </c>
      <c r="C98" s="63">
        <v>3.3490000000000002</v>
      </c>
      <c r="D98" s="70"/>
      <c r="E98" s="64">
        <v>0.5</v>
      </c>
      <c r="F98" s="70"/>
      <c r="G98" s="70"/>
      <c r="H98" s="70"/>
      <c r="I98" s="70"/>
      <c r="J98" s="70"/>
      <c r="K98" s="98"/>
      <c r="L98" s="69">
        <v>1.974</v>
      </c>
      <c r="M98" s="60">
        <f t="shared" ref="M98:M100" si="63">E98+G98+I98+K98</f>
        <v>0.5</v>
      </c>
      <c r="N98" s="67">
        <f t="shared" si="39"/>
        <v>1.974</v>
      </c>
      <c r="O98" s="45">
        <f t="shared" si="42"/>
        <v>1.474</v>
      </c>
      <c r="P98" s="48">
        <f t="shared" si="47"/>
        <v>3.948</v>
      </c>
      <c r="Q98" s="45">
        <f t="shared" si="43"/>
        <v>1.974</v>
      </c>
      <c r="R98" s="47"/>
    </row>
    <row r="99" spans="1:18" x14ac:dyDescent="0.25">
      <c r="A99" s="13"/>
      <c r="B99" s="34" t="s">
        <v>63</v>
      </c>
      <c r="C99" s="75">
        <v>2.4</v>
      </c>
      <c r="D99" s="70">
        <v>1.833</v>
      </c>
      <c r="E99" s="58">
        <v>0.5</v>
      </c>
      <c r="F99" s="70">
        <v>0.39900000000000002</v>
      </c>
      <c r="G99" s="70">
        <v>0.45</v>
      </c>
      <c r="H99" s="70">
        <f>0.782-0.399</f>
        <v>0.38300000000000001</v>
      </c>
      <c r="I99" s="70">
        <v>0.4</v>
      </c>
      <c r="J99" s="70">
        <f>1-0.782</f>
        <v>0.21799999999999997</v>
      </c>
      <c r="K99" s="69">
        <v>0.47</v>
      </c>
      <c r="L99" s="69">
        <f>1.282-1</f>
        <v>0.28200000000000003</v>
      </c>
      <c r="M99" s="60">
        <f t="shared" si="63"/>
        <v>1.82</v>
      </c>
      <c r="N99" s="67">
        <f t="shared" si="39"/>
        <v>1.282</v>
      </c>
      <c r="O99" s="45">
        <f t="shared" si="42"/>
        <v>-0.53800000000000003</v>
      </c>
      <c r="P99" s="48">
        <f t="shared" si="47"/>
        <v>0.70439560439560434</v>
      </c>
      <c r="Q99" s="45">
        <f t="shared" si="43"/>
        <v>-0.55099999999999993</v>
      </c>
      <c r="R99" s="94">
        <f t="shared" si="48"/>
        <v>0.69939989088925258</v>
      </c>
    </row>
    <row r="100" spans="1:18" ht="25.5" customHeight="1" x14ac:dyDescent="0.3">
      <c r="A100" s="11" t="s">
        <v>15</v>
      </c>
      <c r="B100" s="34" t="s">
        <v>16</v>
      </c>
      <c r="C100" s="58">
        <f t="shared" ref="C100:J100" si="64">C14-C30</f>
        <v>24.598000000000184</v>
      </c>
      <c r="D100" s="58">
        <f t="shared" si="64"/>
        <v>12.626000000000204</v>
      </c>
      <c r="E100" s="58">
        <f t="shared" si="64"/>
        <v>0.39525000000008959</v>
      </c>
      <c r="F100" s="58">
        <f t="shared" si="64"/>
        <v>-0.1159999999999286</v>
      </c>
      <c r="G100" s="58">
        <f t="shared" si="64"/>
        <v>0.24300000000005184</v>
      </c>
      <c r="H100" s="58">
        <f t="shared" si="64"/>
        <v>-24.552999999999969</v>
      </c>
      <c r="I100" s="58">
        <f t="shared" si="64"/>
        <v>0.68999999999999773</v>
      </c>
      <c r="J100" s="58">
        <f t="shared" si="64"/>
        <v>-5.825999999999965</v>
      </c>
      <c r="K100" s="59">
        <f>K14-K30</f>
        <v>0.2259999999998854</v>
      </c>
      <c r="L100" s="59">
        <f>L14-L30</f>
        <v>-19.151999999999958</v>
      </c>
      <c r="M100" s="60">
        <f t="shared" si="63"/>
        <v>1.5542500000000246</v>
      </c>
      <c r="N100" s="67">
        <f>F100+H100+J100+L100</f>
        <v>-49.646999999999821</v>
      </c>
      <c r="O100" s="91">
        <f t="shared" si="42"/>
        <v>-51.201249999999845</v>
      </c>
      <c r="P100" s="48"/>
      <c r="Q100" s="45">
        <f t="shared" si="43"/>
        <v>-62.273000000000025</v>
      </c>
      <c r="R100" s="48">
        <f t="shared" si="48"/>
        <v>-3.9321241881830367</v>
      </c>
    </row>
    <row r="101" spans="1:18" ht="18" customHeight="1" x14ac:dyDescent="0.4">
      <c r="B101" s="22" t="s">
        <v>97</v>
      </c>
      <c r="C101" s="22"/>
      <c r="D101" s="22"/>
      <c r="E101" s="14" t="s">
        <v>119</v>
      </c>
      <c r="F101" s="22"/>
      <c r="G101" s="22"/>
      <c r="H101" s="24"/>
      <c r="I101" s="24"/>
      <c r="J101" s="24"/>
      <c r="K101" s="87"/>
      <c r="L101" s="87"/>
      <c r="M101" s="24"/>
      <c r="N101" s="88">
        <v>-49.646999999999998</v>
      </c>
      <c r="O101" s="9"/>
    </row>
    <row r="102" spans="1:18" ht="18" x14ac:dyDescent="0.4">
      <c r="B102" s="1"/>
      <c r="C102" s="10"/>
      <c r="D102" s="1"/>
      <c r="E102" s="22"/>
      <c r="F102" s="10"/>
      <c r="G102" s="10"/>
      <c r="H102" s="82"/>
      <c r="I102" s="10"/>
      <c r="J102" s="10"/>
      <c r="K102" s="82"/>
      <c r="L102" s="10"/>
      <c r="M102" s="1"/>
      <c r="N102" s="81"/>
      <c r="O102" s="9"/>
    </row>
    <row r="103" spans="1:18" ht="18" x14ac:dyDescent="0.4">
      <c r="B103" s="16" t="s">
        <v>0</v>
      </c>
      <c r="C103" s="1"/>
      <c r="D103" s="1"/>
      <c r="E103" s="1"/>
      <c r="F103" s="1"/>
      <c r="G103" s="1"/>
      <c r="H103" s="83"/>
      <c r="I103" s="1"/>
      <c r="J103" s="1"/>
      <c r="K103" s="83"/>
      <c r="L103" s="1"/>
      <c r="M103" s="1"/>
      <c r="N103" s="89"/>
      <c r="O103" s="9"/>
    </row>
    <row r="104" spans="1:18" ht="31.5" x14ac:dyDescent="0.4">
      <c r="B104" s="2" t="s">
        <v>76</v>
      </c>
      <c r="C104" s="2"/>
      <c r="D104" s="2"/>
      <c r="E104" s="1"/>
      <c r="F104" s="2"/>
      <c r="G104" s="2"/>
      <c r="H104" s="83"/>
      <c r="I104" s="2"/>
      <c r="J104" s="2"/>
      <c r="K104" s="2"/>
      <c r="L104" s="2"/>
      <c r="M104" s="2"/>
      <c r="N104" s="90"/>
    </row>
    <row r="105" spans="1:18" ht="15.5" x14ac:dyDescent="0.35">
      <c r="B105" s="3"/>
      <c r="C105" s="3"/>
      <c r="D105" s="3"/>
      <c r="E105" s="2"/>
      <c r="F105" s="3"/>
      <c r="G105" s="3"/>
      <c r="H105" s="3"/>
      <c r="I105" s="3"/>
      <c r="J105" s="3"/>
      <c r="K105" s="3"/>
      <c r="L105" s="3"/>
      <c r="M105" s="3"/>
    </row>
    <row r="106" spans="1:18" ht="15.5" x14ac:dyDescent="0.35">
      <c r="A106" s="18" t="s">
        <v>99</v>
      </c>
      <c r="B106" s="18"/>
      <c r="C106" s="4"/>
      <c r="D106" s="4"/>
      <c r="E106" s="3"/>
      <c r="F106" s="4"/>
      <c r="G106" s="4"/>
      <c r="H106" s="4"/>
      <c r="I106" s="4"/>
      <c r="J106" s="4"/>
      <c r="K106" s="4"/>
      <c r="L106" s="4"/>
      <c r="M106" s="4"/>
    </row>
    <row r="107" spans="1:18" ht="15.5" x14ac:dyDescent="0.35">
      <c r="E107" s="4"/>
    </row>
    <row r="119" spans="5:5" ht="25" x14ac:dyDescent="0.25">
      <c r="E119" s="5" t="s">
        <v>117</v>
      </c>
    </row>
  </sheetData>
  <mergeCells count="12">
    <mergeCell ref="A3:A4"/>
    <mergeCell ref="B3:B4"/>
    <mergeCell ref="M3:N3"/>
    <mergeCell ref="G3:H3"/>
    <mergeCell ref="A1:D1"/>
    <mergeCell ref="K3:L3"/>
    <mergeCell ref="O3:P3"/>
    <mergeCell ref="Q3:R3"/>
    <mergeCell ref="E1:M1"/>
    <mergeCell ref="F2:M2"/>
    <mergeCell ref="E3:F3"/>
    <mergeCell ref="I3:J3"/>
  </mergeCells>
  <phoneticPr fontId="0" type="noConversion"/>
  <pageMargins left="0.75" right="0.75" top="1" bottom="0.87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2020.g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ei</dc:creator>
  <cp:lastModifiedBy>Jefrosinija.Tukane</cp:lastModifiedBy>
  <cp:lastPrinted>2021-02-18T06:17:07Z</cp:lastPrinted>
  <dcterms:created xsi:type="dcterms:W3CDTF">2011-08-02T07:08:37Z</dcterms:created>
  <dcterms:modified xsi:type="dcterms:W3CDTF">2021-04-07T12:13:13Z</dcterms:modified>
</cp:coreProperties>
</file>