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42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9" i="1" l="1"/>
  <c r="B28" i="1" l="1"/>
  <c r="D28" i="1"/>
  <c r="F28" i="1"/>
  <c r="I28" i="1"/>
  <c r="H28" i="1" s="1"/>
  <c r="B37" i="1"/>
  <c r="B38" i="1"/>
  <c r="B41" i="1"/>
  <c r="B42" i="1"/>
  <c r="B45" i="1"/>
  <c r="B46" i="1"/>
  <c r="B47" i="1"/>
  <c r="B48" i="1"/>
  <c r="B50" i="1"/>
  <c r="B51" i="1"/>
  <c r="B53" i="1"/>
  <c r="B54" i="1"/>
  <c r="B55" i="1"/>
  <c r="B56" i="1"/>
  <c r="B57" i="1"/>
  <c r="B58" i="1"/>
  <c r="B59" i="1"/>
  <c r="B66" i="1"/>
  <c r="B68" i="1"/>
  <c r="B71" i="1"/>
  <c r="B73" i="1"/>
  <c r="C81" i="1"/>
  <c r="F77" i="1"/>
  <c r="F78" i="1"/>
  <c r="F79" i="1"/>
  <c r="F80" i="1"/>
  <c r="F81" i="1"/>
  <c r="F82" i="1"/>
  <c r="F83" i="1"/>
  <c r="F84" i="1"/>
  <c r="F76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3" i="1"/>
  <c r="F64" i="1"/>
  <c r="F65" i="1"/>
  <c r="F66" i="1"/>
  <c r="F67" i="1"/>
  <c r="F68" i="1"/>
  <c r="F69" i="1"/>
  <c r="F70" i="1"/>
  <c r="F71" i="1"/>
  <c r="F72" i="1"/>
  <c r="F73" i="1"/>
  <c r="F35" i="1"/>
  <c r="F20" i="1"/>
  <c r="F21" i="1"/>
  <c r="F22" i="1"/>
  <c r="F23" i="1"/>
  <c r="F24" i="1"/>
  <c r="F25" i="1"/>
  <c r="F26" i="1"/>
  <c r="F27" i="1"/>
  <c r="F29" i="1"/>
  <c r="F19" i="1"/>
  <c r="I80" i="1" l="1"/>
  <c r="H80" i="1" s="1"/>
  <c r="I83" i="1"/>
  <c r="H83" i="1" s="1"/>
  <c r="I41" i="1"/>
  <c r="H41" i="1" s="1"/>
  <c r="I71" i="1"/>
  <c r="H71" i="1" s="1"/>
  <c r="I26" i="1"/>
  <c r="H26" i="1" s="1"/>
  <c r="G45" i="1"/>
  <c r="F45" i="1" s="1"/>
  <c r="G44" i="1"/>
  <c r="F44" i="1" s="1"/>
  <c r="F33" i="1"/>
  <c r="G33" i="1"/>
  <c r="F16" i="1"/>
  <c r="F14" i="1" s="1"/>
  <c r="G16" i="1"/>
  <c r="G14" i="1"/>
  <c r="F74" i="1"/>
  <c r="G74" i="1"/>
  <c r="E62" i="1"/>
  <c r="G62" i="1"/>
  <c r="F62" i="1" s="1"/>
  <c r="D81" i="1"/>
  <c r="E49" i="1"/>
  <c r="D49" i="1" s="1"/>
  <c r="E46" i="1"/>
  <c r="E45" i="1"/>
  <c r="I45" i="1" s="1"/>
  <c r="H45" i="1" s="1"/>
  <c r="E44" i="1"/>
  <c r="E43" i="1"/>
  <c r="D43" i="1" s="1"/>
  <c r="C43" i="1"/>
  <c r="B43" i="1" s="1"/>
  <c r="D77" i="1"/>
  <c r="D78" i="1"/>
  <c r="D79" i="1"/>
  <c r="D80" i="1"/>
  <c r="D82" i="1"/>
  <c r="D83" i="1"/>
  <c r="D84" i="1"/>
  <c r="D76" i="1"/>
  <c r="D36" i="1"/>
  <c r="D37" i="1"/>
  <c r="D38" i="1"/>
  <c r="D39" i="1"/>
  <c r="D40" i="1"/>
  <c r="D41" i="1"/>
  <c r="D42" i="1"/>
  <c r="D44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3" i="1"/>
  <c r="D64" i="1"/>
  <c r="D65" i="1"/>
  <c r="D66" i="1"/>
  <c r="D67" i="1"/>
  <c r="D68" i="1"/>
  <c r="D69" i="1"/>
  <c r="D70" i="1"/>
  <c r="D71" i="1"/>
  <c r="D72" i="1"/>
  <c r="D73" i="1"/>
  <c r="D35" i="1"/>
  <c r="D20" i="1"/>
  <c r="D21" i="1"/>
  <c r="D22" i="1"/>
  <c r="D23" i="1"/>
  <c r="D24" i="1"/>
  <c r="D25" i="1"/>
  <c r="D26" i="1"/>
  <c r="D27" i="1"/>
  <c r="D29" i="1"/>
  <c r="D19" i="1"/>
  <c r="C49" i="1"/>
  <c r="B49" i="1" s="1"/>
  <c r="C44" i="1"/>
  <c r="B44" i="1" s="1"/>
  <c r="B77" i="1"/>
  <c r="B78" i="1"/>
  <c r="B79" i="1"/>
  <c r="B80" i="1"/>
  <c r="B81" i="1"/>
  <c r="B82" i="1"/>
  <c r="B83" i="1"/>
  <c r="B84" i="1"/>
  <c r="B76" i="1"/>
  <c r="B21" i="1"/>
  <c r="B22" i="1"/>
  <c r="B26" i="1"/>
  <c r="B27" i="1"/>
  <c r="B29" i="1"/>
  <c r="C25" i="1"/>
  <c r="B25" i="1" s="1"/>
  <c r="D45" i="1" l="1"/>
  <c r="I43" i="1"/>
  <c r="H43" i="1" s="1"/>
  <c r="D62" i="1"/>
  <c r="I44" i="1"/>
  <c r="H44" i="1" s="1"/>
  <c r="C72" i="1"/>
  <c r="B72" i="1" s="1"/>
  <c r="C70" i="1"/>
  <c r="B70" i="1" s="1"/>
  <c r="C67" i="1"/>
  <c r="B67" i="1" s="1"/>
  <c r="C69" i="1"/>
  <c r="B69" i="1" s="1"/>
  <c r="C65" i="1"/>
  <c r="B65" i="1" s="1"/>
  <c r="C64" i="1"/>
  <c r="B64" i="1" s="1"/>
  <c r="C63" i="1"/>
  <c r="B63" i="1" s="1"/>
  <c r="C61" i="1"/>
  <c r="B61" i="1" s="1"/>
  <c r="C60" i="1"/>
  <c r="B60" i="1" s="1"/>
  <c r="C52" i="1"/>
  <c r="B52" i="1" s="1"/>
  <c r="C40" i="1"/>
  <c r="B40" i="1" s="1"/>
  <c r="C39" i="1"/>
  <c r="B39" i="1" s="1"/>
  <c r="C36" i="1"/>
  <c r="B36" i="1" s="1"/>
  <c r="C35" i="1"/>
  <c r="B35" i="1" s="1"/>
  <c r="C24" i="1"/>
  <c r="B24" i="1" s="1"/>
  <c r="C23" i="1"/>
  <c r="B23" i="1" s="1"/>
  <c r="C20" i="1"/>
  <c r="B20" i="1" s="1"/>
  <c r="C19" i="1"/>
  <c r="B19" i="1" s="1"/>
  <c r="C33" i="1" l="1"/>
  <c r="C62" i="1"/>
  <c r="B62" i="1" s="1"/>
  <c r="K47" i="1"/>
  <c r="I47" i="1" s="1"/>
  <c r="H47" i="1" s="1"/>
  <c r="J41" i="1"/>
  <c r="D33" i="1" l="1"/>
  <c r="D32" i="1" l="1"/>
  <c r="B16" i="1"/>
  <c r="B14" i="1" s="1"/>
  <c r="D16" i="1"/>
  <c r="C74" i="1"/>
  <c r="D74" i="1"/>
  <c r="E74" i="1"/>
  <c r="B74" i="1"/>
  <c r="B33" i="1"/>
  <c r="B32" i="1" s="1"/>
  <c r="B30" i="1" l="1"/>
  <c r="B85" i="1" s="1"/>
  <c r="D13" i="1" s="1"/>
  <c r="D14" i="1"/>
  <c r="D30" i="1"/>
  <c r="E16" i="1"/>
  <c r="E14" i="1" s="1"/>
  <c r="K25" i="1"/>
  <c r="I25" i="1" s="1"/>
  <c r="H25" i="1" s="1"/>
  <c r="J64" i="1"/>
  <c r="J65" i="1"/>
  <c r="D85" i="1" l="1"/>
  <c r="F13" i="1" s="1"/>
  <c r="K55" i="1"/>
  <c r="I55" i="1" s="1"/>
  <c r="H55" i="1" s="1"/>
  <c r="K56" i="1"/>
  <c r="I56" i="1" s="1"/>
  <c r="H56" i="1" s="1"/>
  <c r="K57" i="1"/>
  <c r="I57" i="1" s="1"/>
  <c r="H57" i="1" s="1"/>
  <c r="K58" i="1"/>
  <c r="I58" i="1" s="1"/>
  <c r="H58" i="1" s="1"/>
  <c r="K59" i="1"/>
  <c r="G59" i="1" l="1"/>
  <c r="C32" i="1"/>
  <c r="C30" i="1" s="1"/>
  <c r="C16" i="1"/>
  <c r="E33" i="1"/>
  <c r="C14" i="1" l="1"/>
  <c r="B17" i="1"/>
  <c r="F59" i="1"/>
  <c r="F32" i="1" s="1"/>
  <c r="F30" i="1" s="1"/>
  <c r="F85" i="1" s="1"/>
  <c r="H13" i="1" s="1"/>
  <c r="G32" i="1"/>
  <c r="G30" i="1" s="1"/>
  <c r="I59" i="1"/>
  <c r="H59" i="1" s="1"/>
  <c r="C85" i="1"/>
  <c r="E13" i="1" s="1"/>
  <c r="E32" i="1"/>
  <c r="E30" i="1" s="1"/>
  <c r="K53" i="1"/>
  <c r="I53" i="1" s="1"/>
  <c r="H53" i="1" s="1"/>
  <c r="J54" i="1"/>
  <c r="J62" i="1"/>
  <c r="K62" i="1" s="1"/>
  <c r="I62" i="1" s="1"/>
  <c r="H62" i="1" s="1"/>
  <c r="K63" i="1"/>
  <c r="I63" i="1" s="1"/>
  <c r="H63" i="1" s="1"/>
  <c r="K64" i="1"/>
  <c r="I64" i="1" s="1"/>
  <c r="H64" i="1" s="1"/>
  <c r="E85" i="1" l="1"/>
  <c r="G13" i="1" s="1"/>
  <c r="G85" i="1" s="1"/>
  <c r="I13" i="1" s="1"/>
  <c r="I15" i="1" s="1"/>
  <c r="J69" i="1"/>
  <c r="K69" i="1" s="1"/>
  <c r="I69" i="1" s="1"/>
  <c r="H69" i="1" s="1"/>
  <c r="J70" i="1"/>
  <c r="J35" i="1" l="1"/>
  <c r="K65" i="1" l="1"/>
  <c r="I65" i="1" s="1"/>
  <c r="H65" i="1" s="1"/>
  <c r="K61" i="1"/>
  <c r="J81" i="1"/>
  <c r="J52" i="1"/>
  <c r="K52" i="1" s="1"/>
  <c r="I52" i="1" s="1"/>
  <c r="H52" i="1" s="1"/>
  <c r="J61" i="1" l="1"/>
  <c r="I61" i="1"/>
  <c r="H61" i="1" s="1"/>
  <c r="J19" i="1"/>
  <c r="J16" i="1" s="1"/>
  <c r="J14" i="1" s="1"/>
  <c r="K15" i="1"/>
  <c r="K17" i="1"/>
  <c r="K20" i="1"/>
  <c r="I20" i="1" s="1"/>
  <c r="H20" i="1" s="1"/>
  <c r="K22" i="1"/>
  <c r="I22" i="1" s="1"/>
  <c r="H22" i="1" s="1"/>
  <c r="K23" i="1"/>
  <c r="I23" i="1" s="1"/>
  <c r="H23" i="1" s="1"/>
  <c r="K24" i="1"/>
  <c r="I24" i="1" s="1"/>
  <c r="H24" i="1" s="1"/>
  <c r="K27" i="1"/>
  <c r="I27" i="1" s="1"/>
  <c r="H27" i="1" s="1"/>
  <c r="K29" i="1"/>
  <c r="I29" i="1" s="1"/>
  <c r="H29" i="1" s="1"/>
  <c r="K31" i="1"/>
  <c r="K34" i="1"/>
  <c r="K40" i="1"/>
  <c r="K42" i="1"/>
  <c r="I42" i="1" s="1"/>
  <c r="H42" i="1" s="1"/>
  <c r="K48" i="1"/>
  <c r="I48" i="1" s="1"/>
  <c r="H48" i="1" s="1"/>
  <c r="H49" i="1"/>
  <c r="K50" i="1"/>
  <c r="I50" i="1" s="1"/>
  <c r="H50" i="1" s="1"/>
  <c r="K51" i="1"/>
  <c r="I51" i="1" s="1"/>
  <c r="H51" i="1" s="1"/>
  <c r="K54" i="1"/>
  <c r="I54" i="1" s="1"/>
  <c r="H54" i="1" s="1"/>
  <c r="K68" i="1"/>
  <c r="I68" i="1" s="1"/>
  <c r="H68" i="1" s="1"/>
  <c r="K70" i="1"/>
  <c r="I70" i="1" s="1"/>
  <c r="H70" i="1" s="1"/>
  <c r="K72" i="1"/>
  <c r="I72" i="1" s="1"/>
  <c r="H72" i="1" s="1"/>
  <c r="K73" i="1"/>
  <c r="I73" i="1" s="1"/>
  <c r="H73" i="1" s="1"/>
  <c r="K75" i="1"/>
  <c r="K79" i="1"/>
  <c r="I79" i="1" s="1"/>
  <c r="H79" i="1" s="1"/>
  <c r="K81" i="1"/>
  <c r="I81" i="1" s="1"/>
  <c r="H81" i="1" s="1"/>
  <c r="K82" i="1"/>
  <c r="I82" i="1" s="1"/>
  <c r="H82" i="1" s="1"/>
  <c r="K84" i="1"/>
  <c r="I84" i="1" s="1"/>
  <c r="H84" i="1" s="1"/>
  <c r="K13" i="1"/>
  <c r="I40" i="1" l="1"/>
  <c r="H40" i="1" s="1"/>
  <c r="K19" i="1"/>
  <c r="J67" i="1"/>
  <c r="K67" i="1" s="1"/>
  <c r="I67" i="1" s="1"/>
  <c r="H67" i="1" s="1"/>
  <c r="J66" i="1"/>
  <c r="K66" i="1" s="1"/>
  <c r="I66" i="1" s="1"/>
  <c r="H66" i="1" s="1"/>
  <c r="J60" i="1"/>
  <c r="K60" i="1" s="1"/>
  <c r="I60" i="1" s="1"/>
  <c r="H60" i="1" s="1"/>
  <c r="J39" i="1"/>
  <c r="J33" i="1" s="1"/>
  <c r="K16" i="1" l="1"/>
  <c r="K14" i="1" s="1"/>
  <c r="I19" i="1"/>
  <c r="K39" i="1"/>
  <c r="I39" i="1" s="1"/>
  <c r="H39" i="1" s="1"/>
  <c r="J78" i="1"/>
  <c r="K78" i="1" s="1"/>
  <c r="I78" i="1" s="1"/>
  <c r="H78" i="1" s="1"/>
  <c r="J77" i="1"/>
  <c r="K77" i="1" s="1"/>
  <c r="I77" i="1" s="1"/>
  <c r="H77" i="1" s="1"/>
  <c r="I16" i="1" l="1"/>
  <c r="I14" i="1" s="1"/>
  <c r="H19" i="1"/>
  <c r="H16" i="1" s="1"/>
  <c r="H14" i="1" s="1"/>
  <c r="J74" i="1"/>
  <c r="J46" i="1"/>
  <c r="K38" i="1"/>
  <c r="I38" i="1" s="1"/>
  <c r="H38" i="1" s="1"/>
  <c r="K37" i="1"/>
  <c r="I37" i="1" s="1"/>
  <c r="H37" i="1" s="1"/>
  <c r="K35" i="1"/>
  <c r="K36" i="1"/>
  <c r="I36" i="1" s="1"/>
  <c r="H36" i="1" s="1"/>
  <c r="J21" i="1"/>
  <c r="K21" i="1" s="1"/>
  <c r="I21" i="1" s="1"/>
  <c r="H21" i="1" s="1"/>
  <c r="I35" i="1" l="1"/>
  <c r="K33" i="1"/>
  <c r="K74" i="1"/>
  <c r="I76" i="1"/>
  <c r="K46" i="1"/>
  <c r="J32" i="1"/>
  <c r="J30" i="1" s="1"/>
  <c r="I46" i="1" l="1"/>
  <c r="H46" i="1" s="1"/>
  <c r="K32" i="1"/>
  <c r="I33" i="1"/>
  <c r="I32" i="1" s="1"/>
  <c r="H35" i="1"/>
  <c r="H33" i="1" s="1"/>
  <c r="H32" i="1" s="1"/>
  <c r="H76" i="1"/>
  <c r="H74" i="1" s="1"/>
  <c r="I74" i="1"/>
  <c r="K30" i="1"/>
  <c r="K85" i="1" s="1"/>
  <c r="J85" i="1"/>
  <c r="I30" i="1" l="1"/>
  <c r="I85" i="1" s="1"/>
  <c r="H30" i="1"/>
  <c r="H85" i="1" s="1"/>
</calcChain>
</file>

<file path=xl/sharedStrings.xml><?xml version="1.0" encoding="utf-8"?>
<sst xmlns="http://schemas.openxmlformats.org/spreadsheetml/2006/main" count="104" uniqueCount="82">
  <si>
    <t>IEŅĒMUMI kopā *</t>
  </si>
  <si>
    <t>t.sk.</t>
  </si>
  <si>
    <t>PAMATDARBĪBA</t>
  </si>
  <si>
    <t>energoresursu piegāde</t>
  </si>
  <si>
    <t>pirts pakalpojumi</t>
  </si>
  <si>
    <t>t.sk SLP pakalpojumi</t>
  </si>
  <si>
    <t>telpu noma</t>
  </si>
  <si>
    <t>med.dezinsekcija un deratizācija</t>
  </si>
  <si>
    <t>saņēmtie  procenti</t>
  </si>
  <si>
    <t>IZDEVUMI kopā</t>
  </si>
  <si>
    <t>t.sk.:</t>
  </si>
  <si>
    <t>energoresursi un komun.pakalpojumi</t>
  </si>
  <si>
    <t xml:space="preserve">Aizņēmumu atmaksa </t>
  </si>
  <si>
    <t xml:space="preserve">SEB līzings a/m </t>
  </si>
  <si>
    <t xml:space="preserve">SEB kredīts </t>
  </si>
  <si>
    <t>Darba alga</t>
  </si>
  <si>
    <t>Iedzīvotāju ienākuma nodoklis</t>
  </si>
  <si>
    <t>Riska nodeva</t>
  </si>
  <si>
    <t>Valsts nodeva</t>
  </si>
  <si>
    <t>Procenti</t>
  </si>
  <si>
    <t xml:space="preserve">naudas atlikums perioda beigās </t>
  </si>
  <si>
    <t>Valdes loceklis_________________________________Oleg Dovgiy</t>
  </si>
  <si>
    <t>Finanšu direktore_______________________________Jefrosinija Tukāne</t>
  </si>
  <si>
    <t>tālr.26809070,65424769</t>
  </si>
  <si>
    <t>Siltumenerģija</t>
  </si>
  <si>
    <t>Elektroenerģija</t>
  </si>
  <si>
    <t>Elektroenerģijas sadale</t>
  </si>
  <si>
    <t>Kurināmais</t>
  </si>
  <si>
    <t>Apdrošināšanas maksājumi</t>
  </si>
  <si>
    <t>Noma</t>
  </si>
  <si>
    <t>Sistēmas apkalpošana</t>
  </si>
  <si>
    <t>Strādnieku apmacības izdevumi</t>
  </si>
  <si>
    <t>Sakaru izdevumi</t>
  </si>
  <si>
    <t>Bankas pakalpojumi</t>
  </si>
  <si>
    <t>Autotransporta noma</t>
  </si>
  <si>
    <t>Materiālu izdevumi</t>
  </si>
  <si>
    <t>Atkritumu izvešana</t>
  </si>
  <si>
    <t xml:space="preserve">Summa </t>
  </si>
  <si>
    <t>LVL</t>
  </si>
  <si>
    <t>Summa</t>
  </si>
  <si>
    <t>EUR</t>
  </si>
  <si>
    <t>Budžeta plāns 2014.g.</t>
  </si>
  <si>
    <t>Reklāmas pakalpojumi</t>
  </si>
  <si>
    <t>Transporta izdevumi</t>
  </si>
  <si>
    <t>Kancelejas izdevumi</t>
  </si>
  <si>
    <t xml:space="preserve">    t.sk degviela</t>
  </si>
  <si>
    <t xml:space="preserve">          apkalpošana</t>
  </si>
  <si>
    <t>Pašvaldības SIA "Sadzīves pakalpojumu kombināts"</t>
  </si>
  <si>
    <t>pārējie izdevumi( Dividendes)</t>
  </si>
  <si>
    <t>Rādītāju nosaukums</t>
  </si>
  <si>
    <t>Naudas atlikums perioda sākumā</t>
  </si>
  <si>
    <t>Ūdens piegāde</t>
  </si>
  <si>
    <t>Sociālās apdroš.iemaksas(34,09%)</t>
  </si>
  <si>
    <t>Pievienotās vertības nodoklis</t>
  </si>
  <si>
    <t>Pamatlīdzekļu apmaksa par 2013.g</t>
  </si>
  <si>
    <t>Materiāli remontam</t>
  </si>
  <si>
    <t>Gada pārskata pārbaude</t>
  </si>
  <si>
    <t>SEB banka-ēka Višķu 21č</t>
  </si>
  <si>
    <t>soda nauda (nesavlaic.apm.kredīts)</t>
  </si>
  <si>
    <t>SEB banka-kredītlīnija</t>
  </si>
  <si>
    <t>Nekustamā īpašuma nodoklis</t>
  </si>
  <si>
    <t>pārējie (radniecīgo preču pārdošana pirtīs)</t>
  </si>
  <si>
    <t>Ēkas pardošana</t>
  </si>
  <si>
    <t>pašvaldības pasūtījumi</t>
  </si>
  <si>
    <t>Uzņēmuma ienākuma nodoklis</t>
  </si>
  <si>
    <t>konvertaciaja</t>
  </si>
  <si>
    <t>Privatizācijas aģentūra/zeme/</t>
  </si>
  <si>
    <t>Apsardzes pakalpojumi</t>
  </si>
  <si>
    <t>Tehniskā shēmas izstrade</t>
  </si>
  <si>
    <t>Jurista pakalpojumi</t>
  </si>
  <si>
    <t>Specapģerbs</t>
  </si>
  <si>
    <t>Komandējumu izdevumi</t>
  </si>
  <si>
    <t>Medicīnska apskate</t>
  </si>
  <si>
    <t xml:space="preserve">Pamatlīdzekļu iegāde </t>
  </si>
  <si>
    <t>Dabas resursu nodoklis</t>
  </si>
  <si>
    <t>Pamatlīdzekļu un materiālu pārdošana</t>
  </si>
  <si>
    <t>2014.g</t>
  </si>
  <si>
    <t>Mazvērtīga inventāra  vērtība</t>
  </si>
  <si>
    <t>1.cet.</t>
  </si>
  <si>
    <t>2.cet.</t>
  </si>
  <si>
    <t>3.cet.</t>
  </si>
  <si>
    <t>4.cet.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</si>
</sst>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b/>
      <u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 applyBorder="1"/>
    <xf numFmtId="0" fontId="6" fillId="0" borderId="0" xfId="1" applyFont="1" applyBorder="1"/>
    <xf numFmtId="0" fontId="8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2" xfId="1" applyBorder="1" applyAlignment="1">
      <alignment wrapText="1"/>
    </xf>
    <xf numFmtId="0" fontId="5" fillId="0" borderId="2" xfId="1" applyFont="1" applyBorder="1"/>
    <xf numFmtId="0" fontId="1" fillId="0" borderId="2" xfId="1" applyBorder="1"/>
    <xf numFmtId="0" fontId="5" fillId="0" borderId="2" xfId="1" applyFont="1" applyBorder="1" applyAlignment="1">
      <alignment wrapText="1"/>
    </xf>
    <xf numFmtId="0" fontId="6" fillId="0" borderId="2" xfId="1" applyFont="1" applyBorder="1"/>
    <xf numFmtId="0" fontId="3" fillId="0" borderId="2" xfId="1" applyFont="1" applyBorder="1"/>
    <xf numFmtId="0" fontId="2" fillId="0" borderId="2" xfId="1" applyFont="1" applyBorder="1"/>
    <xf numFmtId="0" fontId="7" fillId="0" borderId="2" xfId="1" applyFont="1" applyBorder="1"/>
    <xf numFmtId="0" fontId="6" fillId="0" borderId="2" xfId="1" applyFont="1" applyFill="1" applyBorder="1"/>
    <xf numFmtId="0" fontId="9" fillId="0" borderId="2" xfId="1" applyFont="1" applyBorder="1"/>
    <xf numFmtId="0" fontId="9" fillId="0" borderId="2" xfId="1" applyFont="1" applyFill="1" applyBorder="1"/>
    <xf numFmtId="0" fontId="3" fillId="0" borderId="2" xfId="1" applyFont="1" applyFill="1" applyBorder="1"/>
    <xf numFmtId="0" fontId="8" fillId="0" borderId="3" xfId="1" applyFont="1" applyBorder="1" applyAlignment="1">
      <alignment wrapText="1"/>
    </xf>
    <xf numFmtId="0" fontId="0" fillId="0" borderId="1" xfId="0" applyBorder="1"/>
    <xf numFmtId="0" fontId="4" fillId="0" borderId="4" xfId="1" applyFont="1" applyBorder="1" applyAlignment="1">
      <alignment horizontal="center"/>
    </xf>
    <xf numFmtId="1" fontId="0" fillId="0" borderId="1" xfId="0" applyNumberFormat="1" applyBorder="1"/>
    <xf numFmtId="0" fontId="12" fillId="0" borderId="5" xfId="0" applyFont="1" applyBorder="1"/>
    <xf numFmtId="0" fontId="12" fillId="0" borderId="6" xfId="0" applyFont="1" applyBorder="1"/>
    <xf numFmtId="0" fontId="13" fillId="0" borderId="0" xfId="0" applyFont="1"/>
    <xf numFmtId="1" fontId="0" fillId="0" borderId="0" xfId="0" applyNumberFormat="1"/>
    <xf numFmtId="0" fontId="14" fillId="0" borderId="0" xfId="0" applyFont="1"/>
    <xf numFmtId="1" fontId="12" fillId="0" borderId="1" xfId="0" applyNumberFormat="1" applyFont="1" applyBorder="1"/>
    <xf numFmtId="0" fontId="8" fillId="0" borderId="2" xfId="1" applyFont="1" applyBorder="1" applyAlignment="1">
      <alignment wrapText="1"/>
    </xf>
    <xf numFmtId="0" fontId="12" fillId="0" borderId="1" xfId="0" applyFont="1" applyBorder="1"/>
    <xf numFmtId="0" fontId="5" fillId="0" borderId="2" xfId="1" applyFont="1" applyFill="1" applyBorder="1"/>
    <xf numFmtId="0" fontId="11" fillId="0" borderId="7" xfId="1" applyFont="1" applyBorder="1" applyAlignment="1"/>
    <xf numFmtId="0" fontId="10" fillId="0" borderId="8" xfId="1" applyFont="1" applyBorder="1"/>
    <xf numFmtId="1" fontId="1" fillId="0" borderId="0" xfId="1" applyNumberFormat="1" applyBorder="1"/>
    <xf numFmtId="0" fontId="8" fillId="0" borderId="2" xfId="1" applyFont="1" applyBorder="1"/>
    <xf numFmtId="0" fontId="12" fillId="0" borderId="9" xfId="0" applyFont="1" applyBorder="1"/>
    <xf numFmtId="0" fontId="12" fillId="0" borderId="10" xfId="0" applyFont="1" applyBorder="1"/>
    <xf numFmtId="0" fontId="8" fillId="0" borderId="1" xfId="1" applyFont="1" applyBorder="1" applyAlignment="1">
      <alignment wrapText="1"/>
    </xf>
    <xf numFmtId="0" fontId="1" fillId="0" borderId="1" xfId="1" applyBorder="1"/>
    <xf numFmtId="0" fontId="1" fillId="0" borderId="1" xfId="1" applyBorder="1" applyAlignment="1">
      <alignment wrapText="1"/>
    </xf>
    <xf numFmtId="0" fontId="5" fillId="0" borderId="1" xfId="1" applyFont="1" applyFill="1" applyBorder="1"/>
    <xf numFmtId="0" fontId="15" fillId="0" borderId="0" xfId="0" applyFont="1" applyFill="1"/>
    <xf numFmtId="0" fontId="0" fillId="0" borderId="0" xfId="0" applyFill="1"/>
    <xf numFmtId="0" fontId="1" fillId="0" borderId="2" xfId="1" applyFont="1" applyBorder="1"/>
    <xf numFmtId="1" fontId="0" fillId="0" borderId="1" xfId="0" applyNumberFormat="1" applyFill="1" applyBorder="1"/>
    <xf numFmtId="1" fontId="5" fillId="0" borderId="1" xfId="1" applyNumberFormat="1" applyFont="1" applyBorder="1"/>
    <xf numFmtId="1" fontId="1" fillId="0" borderId="1" xfId="1" applyNumberFormat="1" applyBorder="1"/>
    <xf numFmtId="1" fontId="5" fillId="0" borderId="1" xfId="1" applyNumberFormat="1" applyFont="1" applyFill="1" applyBorder="1"/>
    <xf numFmtId="1" fontId="2" fillId="0" borderId="1" xfId="1" applyNumberFormat="1" applyFont="1" applyBorder="1"/>
    <xf numFmtId="1" fontId="7" fillId="0" borderId="1" xfId="1" applyNumberFormat="1" applyFont="1" applyBorder="1"/>
    <xf numFmtId="1" fontId="6" fillId="0" borderId="1" xfId="1" applyNumberFormat="1" applyFont="1" applyFill="1" applyBorder="1"/>
    <xf numFmtId="1" fontId="9" fillId="0" borderId="1" xfId="1" applyNumberFormat="1" applyFont="1" applyBorder="1"/>
    <xf numFmtId="1" fontId="9" fillId="0" borderId="1" xfId="1" applyNumberFormat="1" applyFont="1" applyFill="1" applyBorder="1"/>
    <xf numFmtId="1" fontId="6" fillId="0" borderId="1" xfId="1" applyNumberFormat="1" applyFont="1" applyBorder="1"/>
    <xf numFmtId="1" fontId="1" fillId="0" borderId="1" xfId="1" applyNumberFormat="1" applyFont="1" applyBorder="1"/>
    <xf numFmtId="1" fontId="1" fillId="0" borderId="1" xfId="1" applyNumberFormat="1" applyFont="1" applyFill="1" applyBorder="1"/>
    <xf numFmtId="1" fontId="8" fillId="0" borderId="1" xfId="1" applyNumberFormat="1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1"/>
  <sheetViews>
    <sheetView tabSelected="1" topLeftCell="A46" workbookViewId="0">
      <selection activeCell="I50" sqref="I50"/>
    </sheetView>
  </sheetViews>
  <sheetFormatPr defaultRowHeight="15" x14ac:dyDescent="0.25"/>
  <cols>
    <col min="1" max="1" width="38.85546875" customWidth="1"/>
    <col min="2" max="2" width="9.140625" customWidth="1"/>
    <col min="3" max="3" width="9.85546875" customWidth="1"/>
    <col min="4" max="4" width="10.42578125" customWidth="1"/>
    <col min="5" max="9" width="8" customWidth="1"/>
    <col min="10" max="10" width="7.7109375" customWidth="1"/>
    <col min="11" max="11" width="8.42578125" customWidth="1"/>
  </cols>
  <sheetData>
    <row r="2" spans="1:11" ht="15.75" x14ac:dyDescent="0.25">
      <c r="E2" s="58"/>
      <c r="F2" s="58"/>
      <c r="G2" s="58"/>
      <c r="H2" s="58"/>
      <c r="I2" s="58"/>
      <c r="J2" s="58"/>
      <c r="K2" s="58"/>
    </row>
    <row r="3" spans="1:11" x14ac:dyDescent="0.25">
      <c r="E3" s="59"/>
      <c r="F3" s="59"/>
      <c r="G3" s="59"/>
      <c r="H3" s="59"/>
      <c r="I3" s="59"/>
      <c r="J3" s="59"/>
      <c r="K3" s="59"/>
    </row>
    <row r="4" spans="1:11" x14ac:dyDescent="0.25">
      <c r="E4" s="59"/>
      <c r="F4" s="59"/>
      <c r="G4" s="59"/>
      <c r="H4" s="59"/>
      <c r="I4" s="59"/>
      <c r="J4" s="59"/>
      <c r="K4" s="59"/>
    </row>
    <row r="7" spans="1:11" ht="18.75" x14ac:dyDescent="0.3">
      <c r="A7" s="25" t="s">
        <v>47</v>
      </c>
      <c r="B7" s="25"/>
      <c r="C7" s="25"/>
      <c r="D7" s="25"/>
      <c r="E7" s="25"/>
      <c r="F7" s="25"/>
      <c r="G7" s="25"/>
      <c r="H7" s="25"/>
      <c r="I7" s="25"/>
    </row>
    <row r="8" spans="1:11" ht="21" x14ac:dyDescent="0.35">
      <c r="A8" s="23" t="s">
        <v>41</v>
      </c>
      <c r="B8" s="23"/>
      <c r="C8" s="23"/>
      <c r="D8" s="23"/>
      <c r="E8" s="23"/>
      <c r="F8" s="23"/>
      <c r="G8" s="23"/>
      <c r="H8" s="23"/>
      <c r="I8" s="23"/>
    </row>
    <row r="9" spans="1:11" ht="16.5" thickBot="1" x14ac:dyDescent="0.3">
      <c r="E9" s="40"/>
      <c r="F9" s="40"/>
      <c r="G9" s="40"/>
      <c r="H9" s="40"/>
      <c r="I9" s="40"/>
    </row>
    <row r="10" spans="1:11" x14ac:dyDescent="0.25">
      <c r="A10" s="30" t="s">
        <v>49</v>
      </c>
      <c r="B10" s="21" t="s">
        <v>37</v>
      </c>
      <c r="C10" s="22" t="s">
        <v>39</v>
      </c>
      <c r="D10" s="21" t="s">
        <v>37</v>
      </c>
      <c r="E10" s="22" t="s">
        <v>39</v>
      </c>
      <c r="F10" s="21" t="s">
        <v>37</v>
      </c>
      <c r="G10" s="22" t="s">
        <v>39</v>
      </c>
      <c r="H10" s="21" t="s">
        <v>37</v>
      </c>
      <c r="I10" s="22" t="s">
        <v>39</v>
      </c>
      <c r="J10" s="21" t="s">
        <v>37</v>
      </c>
      <c r="K10" s="22" t="s">
        <v>39</v>
      </c>
    </row>
    <row r="11" spans="1:11" ht="15.75" thickBot="1" x14ac:dyDescent="0.3">
      <c r="A11" s="31"/>
      <c r="B11" s="34" t="s">
        <v>38</v>
      </c>
      <c r="C11" s="35" t="s">
        <v>40</v>
      </c>
      <c r="D11" s="34" t="s">
        <v>38</v>
      </c>
      <c r="E11" s="35" t="s">
        <v>40</v>
      </c>
      <c r="F11" s="34" t="s">
        <v>38</v>
      </c>
      <c r="G11" s="35" t="s">
        <v>40</v>
      </c>
      <c r="H11" s="34" t="s">
        <v>38</v>
      </c>
      <c r="I11" s="35" t="s">
        <v>40</v>
      </c>
      <c r="J11" s="34" t="s">
        <v>38</v>
      </c>
      <c r="K11" s="35" t="s">
        <v>40</v>
      </c>
    </row>
    <row r="12" spans="1:11" x14ac:dyDescent="0.25">
      <c r="A12" s="19">
        <v>1</v>
      </c>
      <c r="B12" s="57" t="s">
        <v>78</v>
      </c>
      <c r="C12" s="57"/>
      <c r="D12" s="57" t="s">
        <v>79</v>
      </c>
      <c r="E12" s="57"/>
      <c r="F12" s="57" t="s">
        <v>80</v>
      </c>
      <c r="G12" s="57"/>
      <c r="H12" s="57" t="s">
        <v>81</v>
      </c>
      <c r="I12" s="57"/>
      <c r="J12" s="56" t="s">
        <v>76</v>
      </c>
      <c r="K12" s="56"/>
    </row>
    <row r="13" spans="1:11" x14ac:dyDescent="0.25">
      <c r="A13" s="27" t="s">
        <v>50</v>
      </c>
      <c r="B13" s="36">
        <v>35788</v>
      </c>
      <c r="C13" s="36">
        <v>50922</v>
      </c>
      <c r="D13" s="55">
        <f t="shared" ref="D13:I13" si="0">B85</f>
        <v>6307.7304268762819</v>
      </c>
      <c r="E13" s="55">
        <f t="shared" si="0"/>
        <v>8975.3554545453517</v>
      </c>
      <c r="F13" s="55">
        <f t="shared" si="0"/>
        <v>6430.0183228762471</v>
      </c>
      <c r="G13" s="55">
        <f t="shared" si="0"/>
        <v>9149.3554545453517</v>
      </c>
      <c r="H13" s="55">
        <f t="shared" si="0"/>
        <v>17088.970190876251</v>
      </c>
      <c r="I13" s="55">
        <f t="shared" si="0"/>
        <v>24315.868786854204</v>
      </c>
      <c r="J13" s="28">
        <v>35788</v>
      </c>
      <c r="K13" s="26">
        <f>J13/0.702804</f>
        <v>50921.736358927956</v>
      </c>
    </row>
    <row r="14" spans="1:11" x14ac:dyDescent="0.25">
      <c r="A14" s="6" t="s">
        <v>0</v>
      </c>
      <c r="B14" s="26">
        <f t="shared" ref="B14:K14" si="1">B16+B27+B29+B26+B28+B25</f>
        <v>236371.60247796</v>
      </c>
      <c r="C14" s="26">
        <f t="shared" si="1"/>
        <v>336326.49</v>
      </c>
      <c r="D14" s="26">
        <f t="shared" si="1"/>
        <v>233854.51697999999</v>
      </c>
      <c r="E14" s="26">
        <f t="shared" si="1"/>
        <v>332745</v>
      </c>
      <c r="F14" s="26">
        <f t="shared" si="1"/>
        <v>238521.13553999999</v>
      </c>
      <c r="G14" s="26">
        <f t="shared" si="1"/>
        <v>339385</v>
      </c>
      <c r="H14" s="26">
        <f t="shared" si="1"/>
        <v>239165.74500204003</v>
      </c>
      <c r="I14" s="26">
        <f t="shared" si="1"/>
        <v>340302.19663240394</v>
      </c>
      <c r="J14" s="26">
        <f t="shared" si="1"/>
        <v>947913</v>
      </c>
      <c r="K14" s="26">
        <f t="shared" si="1"/>
        <v>1348758.6866324036</v>
      </c>
    </row>
    <row r="15" spans="1:11" x14ac:dyDescent="0.25">
      <c r="A15" s="7" t="s">
        <v>1</v>
      </c>
      <c r="B15" s="37"/>
      <c r="C15" s="37"/>
      <c r="D15" s="37"/>
      <c r="E15" s="37"/>
      <c r="F15" s="37"/>
      <c r="G15" s="37"/>
      <c r="H15" s="37"/>
      <c r="I15" s="37">
        <f>I13*0.702804</f>
        <v>17089.289846876283</v>
      </c>
      <c r="J15" s="18"/>
      <c r="K15" s="20">
        <f t="shared" ref="K15:K84" si="2">J15/0.702804</f>
        <v>0</v>
      </c>
    </row>
    <row r="16" spans="1:11" x14ac:dyDescent="0.25">
      <c r="A16" s="8" t="s">
        <v>2</v>
      </c>
      <c r="B16" s="26">
        <f>B19+B20+B22+B23+B24+B18</f>
        <v>232296.04208195998</v>
      </c>
      <c r="C16" s="26">
        <f>C19+C20+C22+C23+C24+C18</f>
        <v>330527.49</v>
      </c>
      <c r="D16" s="26">
        <f>D19+D20+D22+D23+D24+D18</f>
        <v>232578.92771999998</v>
      </c>
      <c r="E16" s="26">
        <f>E19+E20+E22+E23+E24</f>
        <v>330930</v>
      </c>
      <c r="F16" s="26">
        <f t="shared" ref="F16:I16" si="3">F19+F20+F22+F23+F24</f>
        <v>237245.54627999998</v>
      </c>
      <c r="G16" s="26">
        <f t="shared" si="3"/>
        <v>337570</v>
      </c>
      <c r="H16" s="26">
        <f t="shared" si="3"/>
        <v>235832.48391804003</v>
      </c>
      <c r="I16" s="26">
        <f t="shared" si="3"/>
        <v>335559.39339850092</v>
      </c>
      <c r="J16" s="26">
        <f>J19+J20+J22+J23+J24</f>
        <v>937953</v>
      </c>
      <c r="K16" s="26">
        <f>K19+K20+K22+K23+K24</f>
        <v>1334586.8833985007</v>
      </c>
    </row>
    <row r="17" spans="1:12" x14ac:dyDescent="0.25">
      <c r="A17" s="5" t="s">
        <v>1</v>
      </c>
      <c r="B17" s="38">
        <f>C16*0.702804</f>
        <v>232296.04208195998</v>
      </c>
      <c r="C17" s="38"/>
      <c r="D17" s="38"/>
      <c r="E17" s="38"/>
      <c r="F17" s="38"/>
      <c r="G17" s="38"/>
      <c r="H17" s="38"/>
      <c r="I17" s="38"/>
      <c r="J17" s="18"/>
      <c r="K17" s="20">
        <f t="shared" si="2"/>
        <v>0</v>
      </c>
    </row>
    <row r="18" spans="1:12" x14ac:dyDescent="0.25">
      <c r="A18" s="27" t="s">
        <v>63</v>
      </c>
      <c r="B18" s="36"/>
      <c r="C18" s="38"/>
      <c r="D18" s="38"/>
      <c r="E18" s="38"/>
      <c r="F18" s="38"/>
      <c r="G18" s="38"/>
      <c r="H18" s="38"/>
      <c r="I18" s="38"/>
      <c r="J18" s="18"/>
      <c r="K18" s="20"/>
    </row>
    <row r="19" spans="1:12" x14ac:dyDescent="0.25">
      <c r="A19" s="33" t="s">
        <v>3</v>
      </c>
      <c r="B19" s="44">
        <f>C19*0.702804</f>
        <v>177446.37156576</v>
      </c>
      <c r="C19" s="44">
        <f>208664*1.21</f>
        <v>252483.44</v>
      </c>
      <c r="D19" s="44">
        <f>E19*0.702804</f>
        <v>179566.42199999999</v>
      </c>
      <c r="E19" s="44">
        <v>255500</v>
      </c>
      <c r="F19" s="44">
        <f>G19*0.702804</f>
        <v>184134.64799999999</v>
      </c>
      <c r="G19" s="44">
        <v>262000</v>
      </c>
      <c r="H19" s="44">
        <f>I19*0.702804</f>
        <v>180419.55843424</v>
      </c>
      <c r="I19" s="44">
        <f>K19-C19-E19-G19</f>
        <v>256713.90378290392</v>
      </c>
      <c r="J19" s="28">
        <f>281277+327869+112421</f>
        <v>721567</v>
      </c>
      <c r="K19" s="26">
        <f t="shared" si="2"/>
        <v>1026697.343782904</v>
      </c>
    </row>
    <row r="20" spans="1:12" x14ac:dyDescent="0.25">
      <c r="A20" s="6" t="s">
        <v>4</v>
      </c>
      <c r="B20" s="44">
        <f>C20*0.702804</f>
        <v>26619.847070519998</v>
      </c>
      <c r="C20" s="44">
        <f>31303*1.21</f>
        <v>37876.629999999997</v>
      </c>
      <c r="D20" s="44">
        <f t="shared" ref="D20:D29" si="4">E20*0.702804</f>
        <v>26256.757440000001</v>
      </c>
      <c r="E20" s="44">
        <v>37360</v>
      </c>
      <c r="F20" s="44">
        <f t="shared" ref="F20:F29" si="5">G20*0.702804</f>
        <v>26355.149999999998</v>
      </c>
      <c r="G20" s="44">
        <v>37500</v>
      </c>
      <c r="H20" s="44">
        <f t="shared" ref="H20:H29" si="6">I20*0.702804</f>
        <v>26485.245489480003</v>
      </c>
      <c r="I20" s="44">
        <f t="shared" ref="I20:I29" si="7">K20-C20-E20-G20</f>
        <v>37685.109204671578</v>
      </c>
      <c r="J20" s="28">
        <v>105717</v>
      </c>
      <c r="K20" s="26">
        <f t="shared" si="2"/>
        <v>150421.73920467158</v>
      </c>
    </row>
    <row r="21" spans="1:12" x14ac:dyDescent="0.25">
      <c r="A21" s="7" t="s">
        <v>5</v>
      </c>
      <c r="B21" s="44">
        <f t="shared" ref="B21:B29" si="8">C21*0.702804</f>
        <v>0</v>
      </c>
      <c r="C21" s="45"/>
      <c r="D21" s="44">
        <f t="shared" si="4"/>
        <v>0</v>
      </c>
      <c r="E21" s="45"/>
      <c r="F21" s="44">
        <f t="shared" si="5"/>
        <v>0</v>
      </c>
      <c r="G21" s="45"/>
      <c r="H21" s="44">
        <f t="shared" si="6"/>
        <v>34602.974999999999</v>
      </c>
      <c r="I21" s="44">
        <f t="shared" si="7"/>
        <v>49235.59769153277</v>
      </c>
      <c r="J21" s="20">
        <f>28597.5*1.21</f>
        <v>34602.974999999999</v>
      </c>
      <c r="K21" s="20">
        <f t="shared" si="2"/>
        <v>49235.59769153277</v>
      </c>
    </row>
    <row r="22" spans="1:12" x14ac:dyDescent="0.25">
      <c r="A22" s="6" t="s">
        <v>6</v>
      </c>
      <c r="B22" s="44">
        <f t="shared" si="8"/>
        <v>22700.569199999998</v>
      </c>
      <c r="C22" s="44">
        <v>32300</v>
      </c>
      <c r="D22" s="44">
        <f t="shared" si="4"/>
        <v>21435.522000000001</v>
      </c>
      <c r="E22" s="44">
        <v>30500</v>
      </c>
      <c r="F22" s="44">
        <f t="shared" si="5"/>
        <v>21435.522000000001</v>
      </c>
      <c r="G22" s="44">
        <v>30500</v>
      </c>
      <c r="H22" s="44">
        <f t="shared" si="6"/>
        <v>23766.386800000004</v>
      </c>
      <c r="I22" s="44">
        <f t="shared" si="7"/>
        <v>33816.521818316352</v>
      </c>
      <c r="J22" s="26">
        <v>89338</v>
      </c>
      <c r="K22" s="26">
        <f t="shared" si="2"/>
        <v>127116.52181831635</v>
      </c>
      <c r="L22" s="41"/>
    </row>
    <row r="23" spans="1:12" x14ac:dyDescent="0.25">
      <c r="A23" s="6" t="s">
        <v>7</v>
      </c>
      <c r="B23" s="44">
        <f t="shared" si="8"/>
        <v>4355.7121264799998</v>
      </c>
      <c r="C23" s="44">
        <f>5122*1.21</f>
        <v>6197.62</v>
      </c>
      <c r="D23" s="44">
        <f t="shared" si="4"/>
        <v>4146.5436</v>
      </c>
      <c r="E23" s="44">
        <v>5900</v>
      </c>
      <c r="F23" s="44">
        <f t="shared" si="5"/>
        <v>4146.5436</v>
      </c>
      <c r="G23" s="44">
        <v>5900</v>
      </c>
      <c r="H23" s="44">
        <f t="shared" si="6"/>
        <v>3952.2006735199998</v>
      </c>
      <c r="I23" s="44">
        <f t="shared" si="7"/>
        <v>5623.474928315718</v>
      </c>
      <c r="J23" s="26">
        <v>16601</v>
      </c>
      <c r="K23" s="26">
        <f t="shared" si="2"/>
        <v>23621.094928315717</v>
      </c>
    </row>
    <row r="24" spans="1:12" x14ac:dyDescent="0.25">
      <c r="A24" s="29" t="s">
        <v>61</v>
      </c>
      <c r="B24" s="44">
        <f t="shared" si="8"/>
        <v>1173.5421191999999</v>
      </c>
      <c r="C24" s="46">
        <f>1380*1.21</f>
        <v>1669.8</v>
      </c>
      <c r="D24" s="44">
        <f t="shared" si="4"/>
        <v>1173.6826799999999</v>
      </c>
      <c r="E24" s="46">
        <v>1670</v>
      </c>
      <c r="F24" s="44">
        <f t="shared" si="5"/>
        <v>1173.6826799999999</v>
      </c>
      <c r="G24" s="46">
        <v>1670</v>
      </c>
      <c r="H24" s="44">
        <f t="shared" si="6"/>
        <v>1209.0925208000001</v>
      </c>
      <c r="I24" s="44">
        <f t="shared" si="7"/>
        <v>1720.3836642933165</v>
      </c>
      <c r="J24" s="26">
        <v>4730</v>
      </c>
      <c r="K24" s="26">
        <f t="shared" si="2"/>
        <v>6730.1836642933167</v>
      </c>
    </row>
    <row r="25" spans="1:12" x14ac:dyDescent="0.25">
      <c r="A25" s="29" t="s">
        <v>75</v>
      </c>
      <c r="B25" s="44">
        <f t="shared" si="8"/>
        <v>1275.58926</v>
      </c>
      <c r="C25" s="46">
        <f>1500*1.21</f>
        <v>1815</v>
      </c>
      <c r="D25" s="44">
        <f t="shared" si="4"/>
        <v>1275.58926</v>
      </c>
      <c r="E25" s="46">
        <v>1815</v>
      </c>
      <c r="F25" s="44">
        <f t="shared" si="5"/>
        <v>1275.58926</v>
      </c>
      <c r="G25" s="46">
        <v>1815</v>
      </c>
      <c r="H25" s="44">
        <f t="shared" si="6"/>
        <v>3328.2322200000008</v>
      </c>
      <c r="I25" s="44">
        <f t="shared" si="7"/>
        <v>4735.647805077946</v>
      </c>
      <c r="J25" s="39">
        <v>7155</v>
      </c>
      <c r="K25" s="39">
        <f>J25/0.702804</f>
        <v>10180.647805077946</v>
      </c>
    </row>
    <row r="26" spans="1:12" x14ac:dyDescent="0.25">
      <c r="A26" s="29" t="s">
        <v>62</v>
      </c>
      <c r="B26" s="44">
        <f t="shared" si="8"/>
        <v>0</v>
      </c>
      <c r="C26" s="46"/>
      <c r="D26" s="44">
        <f t="shared" si="4"/>
        <v>0</v>
      </c>
      <c r="E26" s="46"/>
      <c r="F26" s="44">
        <f t="shared" si="5"/>
        <v>0</v>
      </c>
      <c r="G26" s="46"/>
      <c r="H26" s="44">
        <f t="shared" si="6"/>
        <v>0</v>
      </c>
      <c r="I26" s="44">
        <f t="shared" si="7"/>
        <v>0</v>
      </c>
      <c r="J26" s="20"/>
      <c r="K26" s="20"/>
    </row>
    <row r="27" spans="1:12" x14ac:dyDescent="0.25">
      <c r="A27" s="6" t="s">
        <v>59</v>
      </c>
      <c r="B27" s="44">
        <f t="shared" si="8"/>
        <v>2799.9711360000001</v>
      </c>
      <c r="C27" s="44">
        <v>3984</v>
      </c>
      <c r="D27" s="44">
        <f t="shared" si="4"/>
        <v>0</v>
      </c>
      <c r="E27" s="44"/>
      <c r="F27" s="44">
        <f t="shared" si="5"/>
        <v>0</v>
      </c>
      <c r="G27" s="44"/>
      <c r="H27" s="44">
        <f t="shared" si="6"/>
        <v>2.8864000000029227E-2</v>
      </c>
      <c r="I27" s="44">
        <f t="shared" si="7"/>
        <v>4.1069771942147781E-2</v>
      </c>
      <c r="J27" s="20">
        <v>2800</v>
      </c>
      <c r="K27" s="20">
        <f t="shared" si="2"/>
        <v>3984.0410697719421</v>
      </c>
    </row>
    <row r="28" spans="1:12" x14ac:dyDescent="0.25">
      <c r="A28" s="6" t="s">
        <v>13</v>
      </c>
      <c r="B28" s="44">
        <f t="shared" si="8"/>
        <v>0</v>
      </c>
      <c r="C28" s="44"/>
      <c r="D28" s="44">
        <f t="shared" si="4"/>
        <v>0</v>
      </c>
      <c r="E28" s="44"/>
      <c r="F28" s="44">
        <f t="shared" si="5"/>
        <v>0</v>
      </c>
      <c r="G28" s="44"/>
      <c r="H28" s="44">
        <f t="shared" si="6"/>
        <v>0</v>
      </c>
      <c r="I28" s="44">
        <f t="shared" si="7"/>
        <v>0</v>
      </c>
      <c r="J28" s="20"/>
      <c r="K28" s="20"/>
    </row>
    <row r="29" spans="1:12" x14ac:dyDescent="0.25">
      <c r="A29" s="6" t="s">
        <v>8</v>
      </c>
      <c r="B29" s="44">
        <f t="shared" si="8"/>
        <v>0</v>
      </c>
      <c r="C29" s="44"/>
      <c r="D29" s="44">
        <f t="shared" si="4"/>
        <v>0</v>
      </c>
      <c r="E29" s="44"/>
      <c r="F29" s="44">
        <f t="shared" si="5"/>
        <v>0</v>
      </c>
      <c r="G29" s="44"/>
      <c r="H29" s="44">
        <f t="shared" si="6"/>
        <v>5</v>
      </c>
      <c r="I29" s="44">
        <f t="shared" si="7"/>
        <v>7.1143590531641827</v>
      </c>
      <c r="J29" s="20">
        <v>5</v>
      </c>
      <c r="K29" s="20">
        <f t="shared" si="2"/>
        <v>7.1143590531641827</v>
      </c>
    </row>
    <row r="30" spans="1:12" x14ac:dyDescent="0.25">
      <c r="A30" s="6" t="s">
        <v>9</v>
      </c>
      <c r="B30" s="26">
        <f t="shared" ref="B30:I30" si="9">B32+B74+B81+B82+B84+B83</f>
        <v>265851.87205108372</v>
      </c>
      <c r="C30" s="26">
        <f t="shared" si="9"/>
        <v>378273.13454545464</v>
      </c>
      <c r="D30" s="26">
        <f>D32+D74+D81+D82+D84+D83</f>
        <v>233732.22908400002</v>
      </c>
      <c r="E30" s="26">
        <f t="shared" si="9"/>
        <v>332571</v>
      </c>
      <c r="F30" s="26">
        <f t="shared" si="9"/>
        <v>227862.18367199998</v>
      </c>
      <c r="G30" s="26">
        <f t="shared" si="9"/>
        <v>324218.48666769115</v>
      </c>
      <c r="H30" s="26">
        <f t="shared" si="9"/>
        <v>238644.05629876567</v>
      </c>
      <c r="I30" s="26">
        <f t="shared" si="9"/>
        <v>339559.90048258932</v>
      </c>
      <c r="J30" s="26">
        <f>J32+J74+J81+J82+J84+J83</f>
        <v>966090.30536584929</v>
      </c>
      <c r="K30" s="26">
        <f>K32+K74+K81+K82+K84-1</f>
        <v>1374622.5216957349</v>
      </c>
    </row>
    <row r="31" spans="1:12" x14ac:dyDescent="0.25">
      <c r="A31" s="7" t="s">
        <v>10</v>
      </c>
      <c r="B31" s="45"/>
      <c r="C31" s="45"/>
      <c r="D31" s="45"/>
      <c r="E31" s="45"/>
      <c r="F31" s="45"/>
      <c r="G31" s="45"/>
      <c r="H31" s="45"/>
      <c r="I31" s="45"/>
      <c r="J31" s="20"/>
      <c r="K31" s="20">
        <f t="shared" si="2"/>
        <v>0</v>
      </c>
    </row>
    <row r="32" spans="1:12" x14ac:dyDescent="0.25">
      <c r="A32" s="8" t="s">
        <v>2</v>
      </c>
      <c r="B32" s="26">
        <f>SUM(B40:B73)+B33-B63-B64</f>
        <v>261809.34344308369</v>
      </c>
      <c r="C32" s="26">
        <f t="shared" ref="C32" si="10">SUM(C40:C73)+C33-C63-C64</f>
        <v>372521.13454545464</v>
      </c>
      <c r="D32" s="26">
        <f>SUM(D40:D73)+D33-D63-D64</f>
        <v>226541.84136000002</v>
      </c>
      <c r="E32" s="26">
        <f>SUM(E40:E73)+E33-E63-E64</f>
        <v>322340</v>
      </c>
      <c r="F32" s="26">
        <f t="shared" ref="F32:I32" si="11">SUM(F40:F73)+F33-F63-F64</f>
        <v>223819.65506399999</v>
      </c>
      <c r="G32" s="26">
        <f t="shared" si="11"/>
        <v>318466.48666769115</v>
      </c>
      <c r="H32" s="26">
        <f t="shared" si="11"/>
        <v>234578.06777004566</v>
      </c>
      <c r="I32" s="26">
        <f t="shared" si="11"/>
        <v>333774.52002271719</v>
      </c>
      <c r="J32" s="26">
        <f>SUM(J40:J73)+J33-J63-J64</f>
        <v>946748.86107312923</v>
      </c>
      <c r="K32" s="26">
        <f>SUM(K40:K73)+K33-K63-K64</f>
        <v>1347103.1412358626</v>
      </c>
    </row>
    <row r="33" spans="1:11" x14ac:dyDescent="0.25">
      <c r="A33" s="10" t="s">
        <v>11</v>
      </c>
      <c r="B33" s="26">
        <f t="shared" ref="B33" si="12">B35+B36+B37+B38+B39</f>
        <v>163160.86822800004</v>
      </c>
      <c r="C33" s="26">
        <f>C35+C36+C37+C38+C39</f>
        <v>232157</v>
      </c>
      <c r="D33" s="26">
        <f>D35+D36+D37+D38+D39</f>
        <v>160670.130852</v>
      </c>
      <c r="E33" s="26">
        <f t="shared" ref="E33:J33" si="13">E35+E36+E37+E38+E39</f>
        <v>228613</v>
      </c>
      <c r="F33" s="26">
        <f t="shared" si="13"/>
        <v>161864.89765200001</v>
      </c>
      <c r="G33" s="26">
        <f t="shared" si="13"/>
        <v>230313</v>
      </c>
      <c r="H33" s="26">
        <f t="shared" si="13"/>
        <v>162783.98326800004</v>
      </c>
      <c r="I33" s="26">
        <f t="shared" si="13"/>
        <v>231620.74101456458</v>
      </c>
      <c r="J33" s="26">
        <f t="shared" si="13"/>
        <v>648479.88</v>
      </c>
      <c r="K33" s="26">
        <f>K35+K36+K37+K38+K39</f>
        <v>922703.74101456464</v>
      </c>
    </row>
    <row r="34" spans="1:11" x14ac:dyDescent="0.25">
      <c r="A34" s="11" t="s">
        <v>10</v>
      </c>
      <c r="B34" s="47"/>
      <c r="C34" s="47"/>
      <c r="D34" s="47"/>
      <c r="E34" s="47"/>
      <c r="F34" s="47"/>
      <c r="G34" s="47"/>
      <c r="H34" s="47"/>
      <c r="I34" s="47"/>
      <c r="J34" s="20"/>
      <c r="K34" s="20">
        <f t="shared" si="2"/>
        <v>0</v>
      </c>
    </row>
    <row r="35" spans="1:11" ht="15.75" x14ac:dyDescent="0.3">
      <c r="A35" s="12" t="s">
        <v>24</v>
      </c>
      <c r="B35" s="48">
        <f>C35*0.702804</f>
        <v>12100.239720359999</v>
      </c>
      <c r="C35" s="48">
        <f>14229*1.21</f>
        <v>17217.09</v>
      </c>
      <c r="D35" s="48">
        <f>E35*0.702804</f>
        <v>9136.4519999999993</v>
      </c>
      <c r="E35" s="48">
        <v>13000</v>
      </c>
      <c r="F35" s="48">
        <f>G35*0.702804</f>
        <v>9136.4519999999993</v>
      </c>
      <c r="G35" s="48">
        <v>13000</v>
      </c>
      <c r="H35" s="48">
        <f>I35*0.702804</f>
        <v>11950.256279640005</v>
      </c>
      <c r="I35" s="48">
        <f>K35-C35-E35-G35</f>
        <v>17003.682790137798</v>
      </c>
      <c r="J35" s="20">
        <f>40308*1.05</f>
        <v>42323.4</v>
      </c>
      <c r="K35" s="20">
        <f t="shared" si="2"/>
        <v>60220.772790137795</v>
      </c>
    </row>
    <row r="36" spans="1:11" ht="15.75" x14ac:dyDescent="0.3">
      <c r="A36" s="13" t="s">
        <v>51</v>
      </c>
      <c r="B36" s="48">
        <f t="shared" ref="B36:B73" si="14">C36*0.702804</f>
        <v>13794.22225764</v>
      </c>
      <c r="C36" s="49">
        <f>16221*1.21</f>
        <v>19627.41</v>
      </c>
      <c r="D36" s="48">
        <f t="shared" ref="D36:D73" si="15">E36*0.702804</f>
        <v>14126.3604</v>
      </c>
      <c r="E36" s="49">
        <v>20100</v>
      </c>
      <c r="F36" s="48">
        <f t="shared" ref="F36:F73" si="16">G36*0.702804</f>
        <v>14196.640799999999</v>
      </c>
      <c r="G36" s="49">
        <v>20200</v>
      </c>
      <c r="H36" s="48">
        <f t="shared" ref="H36:H73" si="17">I36*0.702804</f>
        <v>13831.776542359999</v>
      </c>
      <c r="I36" s="48">
        <f t="shared" ref="I36:I73" si="18">K36-C36-E36-G36</f>
        <v>19680.844933096567</v>
      </c>
      <c r="J36" s="20">
        <v>55949</v>
      </c>
      <c r="K36" s="20">
        <f t="shared" si="2"/>
        <v>79608.25493309657</v>
      </c>
    </row>
    <row r="37" spans="1:11" ht="15.75" x14ac:dyDescent="0.3">
      <c r="A37" s="13" t="s">
        <v>25</v>
      </c>
      <c r="B37" s="48">
        <f t="shared" si="14"/>
        <v>67680.025200000004</v>
      </c>
      <c r="C37" s="49">
        <v>96300</v>
      </c>
      <c r="D37" s="48">
        <f t="shared" si="15"/>
        <v>67820.585999999996</v>
      </c>
      <c r="E37" s="49">
        <v>96500</v>
      </c>
      <c r="F37" s="48">
        <f t="shared" si="16"/>
        <v>68171.987999999998</v>
      </c>
      <c r="G37" s="49">
        <v>97000</v>
      </c>
      <c r="H37" s="48">
        <f t="shared" si="17"/>
        <v>67256.400800000018</v>
      </c>
      <c r="I37" s="48">
        <f t="shared" si="18"/>
        <v>95697.236782943772</v>
      </c>
      <c r="J37" s="20">
        <v>270929</v>
      </c>
      <c r="K37" s="20">
        <f t="shared" si="2"/>
        <v>385497.23678294377</v>
      </c>
    </row>
    <row r="38" spans="1:11" ht="15.75" x14ac:dyDescent="0.3">
      <c r="A38" s="14" t="s">
        <v>26</v>
      </c>
      <c r="B38" s="48">
        <f t="shared" si="14"/>
        <v>69437.035199999998</v>
      </c>
      <c r="C38" s="50">
        <v>98800</v>
      </c>
      <c r="D38" s="48">
        <f t="shared" si="15"/>
        <v>69437.035199999998</v>
      </c>
      <c r="E38" s="50">
        <v>98800</v>
      </c>
      <c r="F38" s="48">
        <f t="shared" si="16"/>
        <v>70210.119600000005</v>
      </c>
      <c r="G38" s="50">
        <v>99900</v>
      </c>
      <c r="H38" s="48">
        <f t="shared" si="17"/>
        <v>69596.810000000012</v>
      </c>
      <c r="I38" s="48">
        <f t="shared" si="18"/>
        <v>99027.339058969519</v>
      </c>
      <c r="J38" s="20">
        <v>278681</v>
      </c>
      <c r="K38" s="20">
        <f t="shared" si="2"/>
        <v>396527.33905896952</v>
      </c>
    </row>
    <row r="39" spans="1:11" ht="15.75" x14ac:dyDescent="0.3">
      <c r="A39" s="14" t="s">
        <v>36</v>
      </c>
      <c r="B39" s="48">
        <f t="shared" si="14"/>
        <v>149.34584999999998</v>
      </c>
      <c r="C39" s="50">
        <f>850/4</f>
        <v>212.5</v>
      </c>
      <c r="D39" s="48">
        <f t="shared" si="15"/>
        <v>149.69725199999999</v>
      </c>
      <c r="E39" s="50">
        <v>213</v>
      </c>
      <c r="F39" s="48">
        <f t="shared" si="16"/>
        <v>149.69725199999999</v>
      </c>
      <c r="G39" s="50">
        <v>213</v>
      </c>
      <c r="H39" s="48">
        <f t="shared" si="17"/>
        <v>148.73964600000005</v>
      </c>
      <c r="I39" s="48">
        <f t="shared" si="18"/>
        <v>211.6374494169072</v>
      </c>
      <c r="J39" s="20">
        <f>49.79*12</f>
        <v>597.48</v>
      </c>
      <c r="K39" s="20">
        <f t="shared" si="2"/>
        <v>850.1374494169072</v>
      </c>
    </row>
    <row r="40" spans="1:11" ht="15.75" x14ac:dyDescent="0.3">
      <c r="A40" s="14" t="s">
        <v>35</v>
      </c>
      <c r="B40" s="48">
        <f t="shared" si="14"/>
        <v>1311.783666</v>
      </c>
      <c r="C40" s="50">
        <f>7466/4</f>
        <v>1866.5</v>
      </c>
      <c r="D40" s="48">
        <f t="shared" si="15"/>
        <v>1312.135068</v>
      </c>
      <c r="E40" s="50">
        <v>1867</v>
      </c>
      <c r="F40" s="48">
        <f t="shared" si="16"/>
        <v>1312.135068</v>
      </c>
      <c r="G40" s="50">
        <v>1867</v>
      </c>
      <c r="H40" s="48">
        <f t="shared" si="17"/>
        <v>1310.9461980000003</v>
      </c>
      <c r="I40" s="48">
        <f t="shared" si="18"/>
        <v>1865.3083903904935</v>
      </c>
      <c r="J40" s="20">
        <v>5247</v>
      </c>
      <c r="K40" s="20">
        <f t="shared" si="2"/>
        <v>7465.8083903904935</v>
      </c>
    </row>
    <row r="41" spans="1:11" ht="15.75" x14ac:dyDescent="0.3">
      <c r="A41" s="42" t="s">
        <v>77</v>
      </c>
      <c r="B41" s="48">
        <f t="shared" si="14"/>
        <v>175.70099999999999</v>
      </c>
      <c r="C41" s="50">
        <v>250</v>
      </c>
      <c r="D41" s="48">
        <f t="shared" si="15"/>
        <v>175.70099999999999</v>
      </c>
      <c r="E41" s="50">
        <v>250</v>
      </c>
      <c r="F41" s="48">
        <f t="shared" si="16"/>
        <v>175.70099999999999</v>
      </c>
      <c r="G41" s="50">
        <v>250</v>
      </c>
      <c r="H41" s="48">
        <f t="shared" si="17"/>
        <v>175.56043919999996</v>
      </c>
      <c r="I41" s="48">
        <f t="shared" si="18"/>
        <v>249.79999999999995</v>
      </c>
      <c r="J41" s="20">
        <f>K41*0.702804</f>
        <v>702.66343919999997</v>
      </c>
      <c r="K41" s="20">
        <v>999.8</v>
      </c>
    </row>
    <row r="42" spans="1:11" ht="15.75" x14ac:dyDescent="0.3">
      <c r="A42" s="14" t="s">
        <v>27</v>
      </c>
      <c r="B42" s="48">
        <f t="shared" si="14"/>
        <v>6887.4791999999998</v>
      </c>
      <c r="C42" s="50">
        <v>9800</v>
      </c>
      <c r="D42" s="48">
        <f t="shared" si="15"/>
        <v>4427.6651999999995</v>
      </c>
      <c r="E42" s="50">
        <v>6300</v>
      </c>
      <c r="F42" s="48">
        <f t="shared" si="16"/>
        <v>4497.9456</v>
      </c>
      <c r="G42" s="50">
        <v>6400</v>
      </c>
      <c r="H42" s="48">
        <f t="shared" si="17"/>
        <v>6994.9100000000017</v>
      </c>
      <c r="I42" s="48">
        <f t="shared" si="18"/>
        <v>9952.8602569137365</v>
      </c>
      <c r="J42" s="20">
        <v>22808</v>
      </c>
      <c r="K42" s="20">
        <f t="shared" si="2"/>
        <v>32452.860256913737</v>
      </c>
    </row>
    <row r="43" spans="1:11" ht="15.75" x14ac:dyDescent="0.3">
      <c r="A43" s="15" t="s">
        <v>15</v>
      </c>
      <c r="B43" s="48">
        <f t="shared" si="14"/>
        <v>20682.818916</v>
      </c>
      <c r="C43" s="51">
        <f>9509+9960+9960</f>
        <v>29429</v>
      </c>
      <c r="D43" s="48">
        <f t="shared" si="15"/>
        <v>21600.680939999998</v>
      </c>
      <c r="E43" s="51">
        <f>10174+10174+10387</f>
        <v>30735</v>
      </c>
      <c r="F43" s="48">
        <f t="shared" si="16"/>
        <v>21576.0828</v>
      </c>
      <c r="G43" s="51">
        <v>30700</v>
      </c>
      <c r="H43" s="48">
        <f t="shared" si="17"/>
        <v>23758.289219999999</v>
      </c>
      <c r="I43" s="48">
        <f t="shared" si="18"/>
        <v>33805</v>
      </c>
      <c r="J43" s="43">
        <v>87618</v>
      </c>
      <c r="K43" s="43">
        <v>124669</v>
      </c>
    </row>
    <row r="44" spans="1:11" ht="15.75" x14ac:dyDescent="0.3">
      <c r="A44" s="15" t="s">
        <v>52</v>
      </c>
      <c r="B44" s="48">
        <f t="shared" si="14"/>
        <v>10259.532792</v>
      </c>
      <c r="C44" s="51">
        <f>4866*3</f>
        <v>14598</v>
      </c>
      <c r="D44" s="48">
        <f t="shared" si="15"/>
        <v>9736.646616</v>
      </c>
      <c r="E44" s="51">
        <f>3866+4866+5122</f>
        <v>13854</v>
      </c>
      <c r="F44" s="48">
        <f t="shared" si="16"/>
        <v>10799.286264</v>
      </c>
      <c r="G44" s="51">
        <f>5122*3</f>
        <v>15366</v>
      </c>
      <c r="H44" s="48">
        <f t="shared" si="17"/>
        <v>12403.787796000001</v>
      </c>
      <c r="I44" s="48">
        <f t="shared" si="18"/>
        <v>17649</v>
      </c>
      <c r="J44" s="43">
        <v>43199</v>
      </c>
      <c r="K44" s="43">
        <v>61467</v>
      </c>
    </row>
    <row r="45" spans="1:11" ht="15.75" x14ac:dyDescent="0.3">
      <c r="A45" s="15" t="s">
        <v>16</v>
      </c>
      <c r="B45" s="48">
        <f t="shared" si="14"/>
        <v>6596.5183440000001</v>
      </c>
      <c r="C45" s="54">
        <v>9386</v>
      </c>
      <c r="D45" s="48">
        <f t="shared" si="15"/>
        <v>6640.0921920000001</v>
      </c>
      <c r="E45" s="51">
        <f>3230+3230+2988</f>
        <v>9448</v>
      </c>
      <c r="F45" s="48">
        <f t="shared" si="16"/>
        <v>6414.4921079999995</v>
      </c>
      <c r="G45" s="51">
        <f>2867+3130+3130</f>
        <v>9127</v>
      </c>
      <c r="H45" s="48">
        <f t="shared" si="17"/>
        <v>6512.1818640000001</v>
      </c>
      <c r="I45" s="48">
        <f t="shared" si="18"/>
        <v>9266</v>
      </c>
      <c r="J45" s="43">
        <v>26163</v>
      </c>
      <c r="K45" s="43">
        <v>37227</v>
      </c>
    </row>
    <row r="46" spans="1:11" ht="15.75" x14ac:dyDescent="0.3">
      <c r="A46" s="14" t="s">
        <v>17</v>
      </c>
      <c r="B46" s="48">
        <f t="shared" si="14"/>
        <v>23.192532</v>
      </c>
      <c r="C46" s="50">
        <v>33</v>
      </c>
      <c r="D46" s="48">
        <f t="shared" si="15"/>
        <v>26.003747999999998</v>
      </c>
      <c r="E46" s="50">
        <f>13+11+13</f>
        <v>37</v>
      </c>
      <c r="F46" s="48">
        <f t="shared" si="16"/>
        <v>26.003747999999998</v>
      </c>
      <c r="G46" s="50">
        <v>37</v>
      </c>
      <c r="H46" s="48">
        <f t="shared" si="17"/>
        <v>20.799972</v>
      </c>
      <c r="I46" s="48">
        <f t="shared" si="18"/>
        <v>29.595693820752302</v>
      </c>
      <c r="J46" s="20">
        <f>32*12*0.25</f>
        <v>96</v>
      </c>
      <c r="K46" s="20">
        <f t="shared" si="2"/>
        <v>136.5956938207523</v>
      </c>
    </row>
    <row r="47" spans="1:11" ht="15.75" x14ac:dyDescent="0.3">
      <c r="A47" s="14" t="s">
        <v>64</v>
      </c>
      <c r="B47" s="48">
        <f t="shared" si="14"/>
        <v>0</v>
      </c>
      <c r="C47" s="50">
        <v>0</v>
      </c>
      <c r="D47" s="48">
        <f t="shared" si="15"/>
        <v>1345.8696600000001</v>
      </c>
      <c r="E47" s="50">
        <v>1915</v>
      </c>
      <c r="F47" s="48">
        <f t="shared" si="16"/>
        <v>0</v>
      </c>
      <c r="G47" s="50"/>
      <c r="H47" s="48">
        <f t="shared" si="17"/>
        <v>0.13033999999998278</v>
      </c>
      <c r="I47" s="48">
        <f t="shared" si="18"/>
        <v>0.1854571117978594</v>
      </c>
      <c r="J47" s="20">
        <v>1346</v>
      </c>
      <c r="K47" s="20">
        <f t="shared" si="2"/>
        <v>1915.1854571117979</v>
      </c>
    </row>
    <row r="48" spans="1:11" ht="15.75" x14ac:dyDescent="0.3">
      <c r="A48" s="14" t="s">
        <v>18</v>
      </c>
      <c r="B48" s="48">
        <f t="shared" si="14"/>
        <v>0</v>
      </c>
      <c r="C48" s="50">
        <v>0</v>
      </c>
      <c r="D48" s="48">
        <f t="shared" si="15"/>
        <v>408.32912399999998</v>
      </c>
      <c r="E48" s="50">
        <v>581</v>
      </c>
      <c r="F48" s="48">
        <f t="shared" si="16"/>
        <v>0</v>
      </c>
      <c r="G48" s="50"/>
      <c r="H48" s="48">
        <f t="shared" si="17"/>
        <v>408.67087600000002</v>
      </c>
      <c r="I48" s="48">
        <f t="shared" si="18"/>
        <v>581.48626928702743</v>
      </c>
      <c r="J48" s="20">
        <v>817</v>
      </c>
      <c r="K48" s="20">
        <f t="shared" si="2"/>
        <v>1162.4862692870274</v>
      </c>
    </row>
    <row r="49" spans="1:11" ht="15.75" x14ac:dyDescent="0.3">
      <c r="A49" s="14" t="s">
        <v>53</v>
      </c>
      <c r="B49" s="48">
        <f t="shared" si="14"/>
        <v>9749.2970879999993</v>
      </c>
      <c r="C49" s="50">
        <f>4624*3</f>
        <v>13872</v>
      </c>
      <c r="D49" s="48">
        <f t="shared" si="15"/>
        <v>9749.2970879999993</v>
      </c>
      <c r="E49" s="50">
        <f>4624*3</f>
        <v>13872</v>
      </c>
      <c r="F49" s="48">
        <f t="shared" si="16"/>
        <v>9749.2970879999993</v>
      </c>
      <c r="G49" s="50">
        <v>13872</v>
      </c>
      <c r="H49" s="48">
        <f t="shared" si="17"/>
        <v>9677.6110800000006</v>
      </c>
      <c r="I49" s="48">
        <f>K49-C49-E49-G49-1</f>
        <v>13770</v>
      </c>
      <c r="J49" s="20">
        <v>38926</v>
      </c>
      <c r="K49" s="20">
        <v>55387</v>
      </c>
    </row>
    <row r="50" spans="1:11" ht="15.75" x14ac:dyDescent="0.3">
      <c r="A50" s="14" t="s">
        <v>60</v>
      </c>
      <c r="B50" s="48">
        <f t="shared" si="14"/>
        <v>1899.679212</v>
      </c>
      <c r="C50" s="50">
        <v>2703</v>
      </c>
      <c r="D50" s="48">
        <f t="shared" si="15"/>
        <v>1899.679212</v>
      </c>
      <c r="E50" s="50">
        <v>2703</v>
      </c>
      <c r="F50" s="48">
        <f t="shared" si="16"/>
        <v>1899.679212</v>
      </c>
      <c r="G50" s="50">
        <v>2703</v>
      </c>
      <c r="H50" s="48">
        <f t="shared" si="17"/>
        <v>2294.9623639999995</v>
      </c>
      <c r="I50" s="48">
        <f t="shared" si="18"/>
        <v>3265.4372541988942</v>
      </c>
      <c r="J50" s="20">
        <v>7994</v>
      </c>
      <c r="K50" s="20">
        <f t="shared" si="2"/>
        <v>11374.437254198894</v>
      </c>
    </row>
    <row r="51" spans="1:11" ht="15.75" x14ac:dyDescent="0.3">
      <c r="A51" s="14" t="s">
        <v>74</v>
      </c>
      <c r="B51" s="48">
        <f t="shared" si="14"/>
        <v>25.300944000000001</v>
      </c>
      <c r="C51" s="50">
        <v>36</v>
      </c>
      <c r="D51" s="48">
        <f t="shared" si="15"/>
        <v>0</v>
      </c>
      <c r="E51" s="50"/>
      <c r="F51" s="48">
        <f t="shared" si="16"/>
        <v>0</v>
      </c>
      <c r="G51" s="50"/>
      <c r="H51" s="48">
        <f t="shared" si="17"/>
        <v>3.9056000000001236E-2</v>
      </c>
      <c r="I51" s="48">
        <f t="shared" si="18"/>
        <v>5.5571681436077824E-2</v>
      </c>
      <c r="J51" s="20">
        <v>25.34</v>
      </c>
      <c r="K51" s="20">
        <f t="shared" si="2"/>
        <v>36.055571681436078</v>
      </c>
    </row>
    <row r="52" spans="1:11" ht="15.75" x14ac:dyDescent="0.3">
      <c r="A52" s="14" t="s">
        <v>73</v>
      </c>
      <c r="B52" s="48">
        <f t="shared" si="14"/>
        <v>824.03066195999997</v>
      </c>
      <c r="C52" s="50">
        <f>969*1.21</f>
        <v>1172.49</v>
      </c>
      <c r="D52" s="48">
        <f t="shared" si="15"/>
        <v>1475.8884</v>
      </c>
      <c r="E52" s="50">
        <v>2100</v>
      </c>
      <c r="F52" s="48">
        <f t="shared" si="16"/>
        <v>0</v>
      </c>
      <c r="G52" s="50"/>
      <c r="H52" s="48">
        <f t="shared" si="17"/>
        <v>336.6709380399999</v>
      </c>
      <c r="I52" s="48">
        <f t="shared" si="18"/>
        <v>479.03958719643015</v>
      </c>
      <c r="J52" s="20">
        <f>2179*1.21</f>
        <v>2636.59</v>
      </c>
      <c r="K52" s="20">
        <f t="shared" si="2"/>
        <v>3751.5295871964304</v>
      </c>
    </row>
    <row r="53" spans="1:11" ht="15.75" x14ac:dyDescent="0.3">
      <c r="A53" s="14" t="s">
        <v>54</v>
      </c>
      <c r="B53" s="48">
        <f t="shared" si="14"/>
        <v>32520.849491999998</v>
      </c>
      <c r="C53" s="50">
        <v>46273</v>
      </c>
      <c r="D53" s="48">
        <f t="shared" si="15"/>
        <v>0</v>
      </c>
      <c r="E53" s="50">
        <v>0</v>
      </c>
      <c r="F53" s="48">
        <f t="shared" si="16"/>
        <v>0</v>
      </c>
      <c r="G53" s="50"/>
      <c r="H53" s="48">
        <f t="shared" si="17"/>
        <v>0.15050799999939793</v>
      </c>
      <c r="I53" s="48">
        <f t="shared" si="18"/>
        <v>0.21415359047387028</v>
      </c>
      <c r="J53" s="20">
        <v>32521</v>
      </c>
      <c r="K53" s="20">
        <f t="shared" si="2"/>
        <v>46273.214153590474</v>
      </c>
    </row>
    <row r="54" spans="1:11" ht="15.75" x14ac:dyDescent="0.3">
      <c r="A54" s="14" t="s">
        <v>28</v>
      </c>
      <c r="B54" s="48">
        <f t="shared" si="14"/>
        <v>198.19072800000001</v>
      </c>
      <c r="C54" s="50">
        <v>282</v>
      </c>
      <c r="D54" s="48">
        <f t="shared" si="15"/>
        <v>198.19072800000001</v>
      </c>
      <c r="E54" s="50">
        <v>282</v>
      </c>
      <c r="F54" s="48">
        <f t="shared" si="16"/>
        <v>198.19072800000001</v>
      </c>
      <c r="G54" s="50">
        <v>282</v>
      </c>
      <c r="H54" s="48">
        <f t="shared" si="17"/>
        <v>197.42781600000009</v>
      </c>
      <c r="I54" s="48">
        <f t="shared" si="18"/>
        <v>280.91447402120662</v>
      </c>
      <c r="J54" s="20">
        <f>230+331+33*7</f>
        <v>792</v>
      </c>
      <c r="K54" s="20">
        <f t="shared" si="2"/>
        <v>1126.9144740212066</v>
      </c>
    </row>
    <row r="55" spans="1:11" ht="15.75" x14ac:dyDescent="0.3">
      <c r="A55" s="14" t="s">
        <v>67</v>
      </c>
      <c r="B55" s="48">
        <f t="shared" si="14"/>
        <v>300.097308</v>
      </c>
      <c r="C55" s="50">
        <v>427</v>
      </c>
      <c r="D55" s="48">
        <f t="shared" si="15"/>
        <v>300.097308</v>
      </c>
      <c r="E55" s="50">
        <v>427</v>
      </c>
      <c r="F55" s="48">
        <f t="shared" si="16"/>
        <v>300.097308</v>
      </c>
      <c r="G55" s="50">
        <v>427</v>
      </c>
      <c r="H55" s="48">
        <f t="shared" si="17"/>
        <v>646.70807600000001</v>
      </c>
      <c r="I55" s="48">
        <f t="shared" si="18"/>
        <v>920.18269104899809</v>
      </c>
      <c r="J55" s="20">
        <v>1547</v>
      </c>
      <c r="K55" s="20">
        <f t="shared" si="2"/>
        <v>2201.1826910489981</v>
      </c>
    </row>
    <row r="56" spans="1:11" ht="15.75" x14ac:dyDescent="0.3">
      <c r="A56" s="14" t="s">
        <v>70</v>
      </c>
      <c r="B56" s="48">
        <f t="shared" si="14"/>
        <v>0</v>
      </c>
      <c r="C56" s="50"/>
      <c r="D56" s="48">
        <f t="shared" si="15"/>
        <v>140.5608</v>
      </c>
      <c r="E56" s="50">
        <v>200</v>
      </c>
      <c r="F56" s="48">
        <f t="shared" si="16"/>
        <v>140.5608</v>
      </c>
      <c r="G56" s="50">
        <v>200</v>
      </c>
      <c r="H56" s="48">
        <f t="shared" si="17"/>
        <v>521.87839999999994</v>
      </c>
      <c r="I56" s="48">
        <f t="shared" si="18"/>
        <v>742.56606393816764</v>
      </c>
      <c r="J56" s="20">
        <v>803</v>
      </c>
      <c r="K56" s="20">
        <f t="shared" si="2"/>
        <v>1142.5660639381676</v>
      </c>
    </row>
    <row r="57" spans="1:11" ht="15.75" x14ac:dyDescent="0.3">
      <c r="A57" s="14" t="s">
        <v>69</v>
      </c>
      <c r="B57" s="48">
        <f t="shared" si="14"/>
        <v>0</v>
      </c>
      <c r="C57" s="50"/>
      <c r="D57" s="48">
        <f t="shared" si="15"/>
        <v>0</v>
      </c>
      <c r="E57" s="50"/>
      <c r="F57" s="48">
        <f t="shared" si="16"/>
        <v>0</v>
      </c>
      <c r="G57" s="50"/>
      <c r="H57" s="48">
        <f t="shared" si="17"/>
        <v>0</v>
      </c>
      <c r="I57" s="48">
        <f t="shared" si="18"/>
        <v>0</v>
      </c>
      <c r="J57" s="20"/>
      <c r="K57" s="20">
        <f t="shared" si="2"/>
        <v>0</v>
      </c>
    </row>
    <row r="58" spans="1:11" ht="15.75" x14ac:dyDescent="0.3">
      <c r="A58" s="14" t="s">
        <v>71</v>
      </c>
      <c r="B58" s="48">
        <f t="shared" si="14"/>
        <v>0</v>
      </c>
      <c r="C58" s="50"/>
      <c r="D58" s="48">
        <f t="shared" si="15"/>
        <v>0</v>
      </c>
      <c r="E58" s="50"/>
      <c r="F58" s="48">
        <f t="shared" si="16"/>
        <v>0</v>
      </c>
      <c r="G58" s="50"/>
      <c r="H58" s="48">
        <f t="shared" si="17"/>
        <v>0</v>
      </c>
      <c r="I58" s="48">
        <f t="shared" si="18"/>
        <v>0</v>
      </c>
      <c r="J58" s="20"/>
      <c r="K58" s="20">
        <f t="shared" si="2"/>
        <v>0</v>
      </c>
    </row>
    <row r="59" spans="1:11" ht="15.75" x14ac:dyDescent="0.3">
      <c r="A59" s="14" t="s">
        <v>72</v>
      </c>
      <c r="B59" s="48">
        <f t="shared" si="14"/>
        <v>0</v>
      </c>
      <c r="C59" s="50"/>
      <c r="D59" s="48">
        <f t="shared" si="15"/>
        <v>46.385064</v>
      </c>
      <c r="E59" s="50">
        <v>66</v>
      </c>
      <c r="F59" s="48">
        <f t="shared" si="16"/>
        <v>18.614936</v>
      </c>
      <c r="G59" s="50">
        <f>K59-E59</f>
        <v>26.486667691134372</v>
      </c>
      <c r="H59" s="48">
        <f t="shared" si="17"/>
        <v>0</v>
      </c>
      <c r="I59" s="48">
        <f t="shared" si="18"/>
        <v>0</v>
      </c>
      <c r="J59" s="20">
        <v>65</v>
      </c>
      <c r="K59" s="20">
        <f t="shared" si="2"/>
        <v>92.486667691134372</v>
      </c>
    </row>
    <row r="60" spans="1:11" ht="15.75" x14ac:dyDescent="0.3">
      <c r="A60" s="14" t="s">
        <v>29</v>
      </c>
      <c r="B60" s="48">
        <f t="shared" si="14"/>
        <v>931.03959899999995</v>
      </c>
      <c r="C60" s="50">
        <f>5299/4</f>
        <v>1324.75</v>
      </c>
      <c r="D60" s="48">
        <f t="shared" si="15"/>
        <v>931.21529999999996</v>
      </c>
      <c r="E60" s="50">
        <v>1325</v>
      </c>
      <c r="F60" s="48">
        <f t="shared" si="16"/>
        <v>931.21529999999996</v>
      </c>
      <c r="G60" s="50">
        <v>1325</v>
      </c>
      <c r="H60" s="48">
        <f t="shared" si="17"/>
        <v>930.61940100000038</v>
      </c>
      <c r="I60" s="48">
        <f t="shared" si="18"/>
        <v>1324.1521121109163</v>
      </c>
      <c r="J60" s="20">
        <f>(70.28+70+116.2)*12*1.21</f>
        <v>3724.0896000000002</v>
      </c>
      <c r="K60" s="20">
        <f t="shared" si="2"/>
        <v>5298.9021121109163</v>
      </c>
    </row>
    <row r="61" spans="1:11" ht="15.75" x14ac:dyDescent="0.3">
      <c r="A61" s="14" t="s">
        <v>34</v>
      </c>
      <c r="B61" s="48">
        <f t="shared" si="14"/>
        <v>567.51423</v>
      </c>
      <c r="C61" s="50">
        <f>3230/4</f>
        <v>807.5</v>
      </c>
      <c r="D61" s="48">
        <f t="shared" si="15"/>
        <v>567.86563200000001</v>
      </c>
      <c r="E61" s="50">
        <v>808</v>
      </c>
      <c r="F61" s="48">
        <v>568</v>
      </c>
      <c r="G61" s="50">
        <v>808</v>
      </c>
      <c r="H61" s="48">
        <f t="shared" si="17"/>
        <v>566.92387463999989</v>
      </c>
      <c r="I61" s="48">
        <f t="shared" si="18"/>
        <v>806.65999999999985</v>
      </c>
      <c r="J61" s="20">
        <f>K61*0.702804</f>
        <v>2270.1693686399999</v>
      </c>
      <c r="K61" s="20">
        <f>269.18*12</f>
        <v>3230.16</v>
      </c>
    </row>
    <row r="62" spans="1:11" ht="15.75" x14ac:dyDescent="0.3">
      <c r="A62" s="14" t="s">
        <v>43</v>
      </c>
      <c r="B62" s="48">
        <f t="shared" si="14"/>
        <v>1590.2346107999999</v>
      </c>
      <c r="C62" s="50">
        <f>C63+C64</f>
        <v>2262.6999999999998</v>
      </c>
      <c r="D62" s="50">
        <f t="shared" ref="D62:G62" si="19">D63+D64</f>
        <v>1507.51458</v>
      </c>
      <c r="E62" s="50">
        <f t="shared" si="19"/>
        <v>2145</v>
      </c>
      <c r="F62" s="48">
        <f t="shared" si="16"/>
        <v>1504.00056</v>
      </c>
      <c r="G62" s="50">
        <f t="shared" si="19"/>
        <v>2140</v>
      </c>
      <c r="H62" s="48">
        <f t="shared" si="17"/>
        <v>1804.6702491999999</v>
      </c>
      <c r="I62" s="48">
        <f t="shared" si="18"/>
        <v>2567.8144250744162</v>
      </c>
      <c r="J62" s="20">
        <f>J63+J64</f>
        <v>6406.42</v>
      </c>
      <c r="K62" s="20">
        <f>J62/0.702804</f>
        <v>9115.5144250744161</v>
      </c>
    </row>
    <row r="63" spans="1:11" ht="15.75" x14ac:dyDescent="0.3">
      <c r="A63" s="14" t="s">
        <v>45</v>
      </c>
      <c r="B63" s="48">
        <f t="shared" si="14"/>
        <v>1347.8726514</v>
      </c>
      <c r="C63" s="50">
        <f>1585*1.21</f>
        <v>1917.85</v>
      </c>
      <c r="D63" s="48">
        <f t="shared" si="15"/>
        <v>1265.0472</v>
      </c>
      <c r="E63" s="50">
        <v>1800</v>
      </c>
      <c r="F63" s="48">
        <f t="shared" si="16"/>
        <v>1265.0472</v>
      </c>
      <c r="G63" s="50">
        <v>1800</v>
      </c>
      <c r="H63" s="48">
        <f t="shared" si="17"/>
        <v>1316.0329485999996</v>
      </c>
      <c r="I63" s="48">
        <f t="shared" si="18"/>
        <v>1872.5461844269521</v>
      </c>
      <c r="J63" s="20">
        <v>5194</v>
      </c>
      <c r="K63" s="20">
        <f t="shared" ref="K63:K65" si="20">J63/0.702804</f>
        <v>7390.3961844269525</v>
      </c>
    </row>
    <row r="64" spans="1:11" ht="15.75" x14ac:dyDescent="0.3">
      <c r="A64" s="14" t="s">
        <v>46</v>
      </c>
      <c r="B64" s="48">
        <f t="shared" si="14"/>
        <v>242.36195939999996</v>
      </c>
      <c r="C64" s="50">
        <f>285*1.21</f>
        <v>344.84999999999997</v>
      </c>
      <c r="D64" s="48">
        <f t="shared" si="15"/>
        <v>242.46737999999999</v>
      </c>
      <c r="E64" s="50">
        <v>345</v>
      </c>
      <c r="F64" s="48">
        <f t="shared" si="16"/>
        <v>238.95336</v>
      </c>
      <c r="G64" s="50">
        <v>340</v>
      </c>
      <c r="H64" s="48">
        <f t="shared" si="17"/>
        <v>488.63730060000023</v>
      </c>
      <c r="I64" s="48">
        <f t="shared" si="18"/>
        <v>695.26824064746393</v>
      </c>
      <c r="J64" s="20">
        <f>1002*1.21</f>
        <v>1212.42</v>
      </c>
      <c r="K64" s="20">
        <f t="shared" si="20"/>
        <v>1725.1182406474638</v>
      </c>
    </row>
    <row r="65" spans="1:11" ht="15.75" x14ac:dyDescent="0.3">
      <c r="A65" s="14" t="s">
        <v>30</v>
      </c>
      <c r="B65" s="48">
        <f t="shared" si="14"/>
        <v>726.23548535999987</v>
      </c>
      <c r="C65" s="50">
        <f>854*1.21</f>
        <v>1033.3399999999999</v>
      </c>
      <c r="D65" s="48">
        <f t="shared" si="15"/>
        <v>725.996532</v>
      </c>
      <c r="E65" s="50">
        <v>1033</v>
      </c>
      <c r="F65" s="48">
        <f t="shared" si="16"/>
        <v>725.996532</v>
      </c>
      <c r="G65" s="50">
        <v>1033</v>
      </c>
      <c r="H65" s="48">
        <f t="shared" si="17"/>
        <v>712.61145063999959</v>
      </c>
      <c r="I65" s="48">
        <f t="shared" si="18"/>
        <v>1013.9547450498285</v>
      </c>
      <c r="J65" s="20">
        <f>80.17*12+12.1*12+1390+393.6</f>
        <v>2890.8399999999997</v>
      </c>
      <c r="K65" s="20">
        <f t="shared" si="20"/>
        <v>4113.2947450498286</v>
      </c>
    </row>
    <row r="66" spans="1:11" ht="15.75" x14ac:dyDescent="0.3">
      <c r="A66" s="14" t="s">
        <v>31</v>
      </c>
      <c r="B66" s="48">
        <f t="shared" si="14"/>
        <v>85.039283999999995</v>
      </c>
      <c r="C66" s="50">
        <v>121</v>
      </c>
      <c r="D66" s="48">
        <f t="shared" si="15"/>
        <v>84.336479999999995</v>
      </c>
      <c r="E66" s="50">
        <v>120</v>
      </c>
      <c r="F66" s="48">
        <f t="shared" si="16"/>
        <v>63.252359999999996</v>
      </c>
      <c r="G66" s="50">
        <v>90</v>
      </c>
      <c r="H66" s="48">
        <f t="shared" si="17"/>
        <v>107.38187600000001</v>
      </c>
      <c r="I66" s="48">
        <f t="shared" si="18"/>
        <v>152.79064433327073</v>
      </c>
      <c r="J66" s="20">
        <f>281*1.21</f>
        <v>340.01</v>
      </c>
      <c r="K66" s="20">
        <f t="shared" si="2"/>
        <v>483.79064433327073</v>
      </c>
    </row>
    <row r="67" spans="1:11" ht="15.75" x14ac:dyDescent="0.3">
      <c r="A67" s="14" t="s">
        <v>32</v>
      </c>
      <c r="B67" s="48">
        <f t="shared" si="14"/>
        <v>314.64535079999996</v>
      </c>
      <c r="C67" s="50">
        <f>370*1.21</f>
        <v>447.7</v>
      </c>
      <c r="D67" s="48">
        <f t="shared" si="15"/>
        <v>260.03748000000002</v>
      </c>
      <c r="E67" s="50">
        <v>370</v>
      </c>
      <c r="F67" s="48">
        <f t="shared" si="16"/>
        <v>182.72904</v>
      </c>
      <c r="G67" s="50">
        <v>260</v>
      </c>
      <c r="H67" s="48">
        <f t="shared" si="17"/>
        <v>316.96829448925615</v>
      </c>
      <c r="I67" s="48">
        <f t="shared" si="18"/>
        <v>451.00525109313003</v>
      </c>
      <c r="J67" s="20">
        <f>1300/1.21</f>
        <v>1074.3801652892562</v>
      </c>
      <c r="K67" s="20">
        <f t="shared" si="2"/>
        <v>1528.7052510931301</v>
      </c>
    </row>
    <row r="68" spans="1:11" ht="15.75" x14ac:dyDescent="0.3">
      <c r="A68" s="14" t="s">
        <v>33</v>
      </c>
      <c r="B68" s="48">
        <f t="shared" si="14"/>
        <v>210.84119999999999</v>
      </c>
      <c r="C68" s="50">
        <v>300</v>
      </c>
      <c r="D68" s="48">
        <f t="shared" si="15"/>
        <v>351.40199999999999</v>
      </c>
      <c r="E68" s="50">
        <v>500</v>
      </c>
      <c r="F68" s="48">
        <f t="shared" si="16"/>
        <v>316.26179999999999</v>
      </c>
      <c r="G68" s="50">
        <v>450</v>
      </c>
      <c r="H68" s="48">
        <f t="shared" si="17"/>
        <v>771.49500000000012</v>
      </c>
      <c r="I68" s="48">
        <f t="shared" si="18"/>
        <v>1097.7384875441803</v>
      </c>
      <c r="J68" s="20">
        <v>1650</v>
      </c>
      <c r="K68" s="20">
        <f t="shared" si="2"/>
        <v>2347.7384875441803</v>
      </c>
    </row>
    <row r="69" spans="1:11" ht="15.75" x14ac:dyDescent="0.3">
      <c r="A69" s="14" t="s">
        <v>44</v>
      </c>
      <c r="B69" s="48">
        <f t="shared" si="14"/>
        <v>399.68463479999997</v>
      </c>
      <c r="C69" s="53">
        <f>470*1.21</f>
        <v>568.69999999999993</v>
      </c>
      <c r="D69" s="48">
        <f t="shared" si="15"/>
        <v>399.89547599999997</v>
      </c>
      <c r="E69" s="50">
        <v>569</v>
      </c>
      <c r="F69" s="48">
        <f t="shared" si="16"/>
        <v>400.59827999999999</v>
      </c>
      <c r="G69" s="50">
        <v>570</v>
      </c>
      <c r="H69" s="48">
        <f t="shared" si="17"/>
        <v>65.300109199999952</v>
      </c>
      <c r="I69" s="48">
        <f t="shared" si="18"/>
        <v>92.913684611925873</v>
      </c>
      <c r="J69" s="20">
        <f>1045.85*1.21</f>
        <v>1265.4784999999999</v>
      </c>
      <c r="K69" s="20">
        <f t="shared" si="2"/>
        <v>1800.6136846119259</v>
      </c>
    </row>
    <row r="70" spans="1:11" ht="15.75" x14ac:dyDescent="0.3">
      <c r="A70" s="14" t="s">
        <v>42</v>
      </c>
      <c r="B70" s="48">
        <f t="shared" si="14"/>
        <v>156.82403305785124</v>
      </c>
      <c r="C70" s="50">
        <f>270/1.21</f>
        <v>223.14049586776861</v>
      </c>
      <c r="D70" s="48">
        <f t="shared" si="15"/>
        <v>154.61688000000001</v>
      </c>
      <c r="E70" s="50">
        <v>220</v>
      </c>
      <c r="F70" s="48">
        <f t="shared" si="16"/>
        <v>154.61688000000001</v>
      </c>
      <c r="G70" s="50">
        <v>220</v>
      </c>
      <c r="H70" s="48">
        <f t="shared" si="17"/>
        <v>453.94220694214886</v>
      </c>
      <c r="I70" s="48">
        <f t="shared" si="18"/>
        <v>645.9015699144411</v>
      </c>
      <c r="J70" s="20">
        <f>726+121+73</f>
        <v>920</v>
      </c>
      <c r="K70" s="20">
        <f t="shared" si="2"/>
        <v>1309.0420657822096</v>
      </c>
    </row>
    <row r="71" spans="1:11" ht="15.75" x14ac:dyDescent="0.3">
      <c r="A71" s="14" t="s">
        <v>68</v>
      </c>
      <c r="B71" s="48">
        <f t="shared" si="14"/>
        <v>0</v>
      </c>
      <c r="C71" s="50"/>
      <c r="D71" s="48">
        <f t="shared" si="15"/>
        <v>0</v>
      </c>
      <c r="E71" s="50"/>
      <c r="F71" s="48">
        <f t="shared" si="16"/>
        <v>0</v>
      </c>
      <c r="G71" s="50"/>
      <c r="H71" s="48">
        <f t="shared" si="17"/>
        <v>0</v>
      </c>
      <c r="I71" s="48">
        <f t="shared" si="18"/>
        <v>0</v>
      </c>
      <c r="J71" s="20"/>
      <c r="K71" s="20"/>
    </row>
    <row r="72" spans="1:11" ht="15.75" x14ac:dyDescent="0.3">
      <c r="A72" s="14" t="s">
        <v>55</v>
      </c>
      <c r="B72" s="48">
        <f t="shared" si="14"/>
        <v>1421.290403305785</v>
      </c>
      <c r="C72" s="50">
        <f>2447/1.21</f>
        <v>2022.3140495867769</v>
      </c>
      <c r="D72" s="48">
        <f t="shared" si="15"/>
        <v>1405.6079999999999</v>
      </c>
      <c r="E72" s="50">
        <v>2000</v>
      </c>
      <c r="F72" s="48">
        <f t="shared" si="16"/>
        <v>0</v>
      </c>
      <c r="G72" s="50"/>
      <c r="H72" s="48">
        <f t="shared" si="17"/>
        <v>803.10159669421489</v>
      </c>
      <c r="I72" s="48">
        <f t="shared" si="18"/>
        <v>1142.7106230104196</v>
      </c>
      <c r="J72" s="20">
        <v>3630</v>
      </c>
      <c r="K72" s="20">
        <f t="shared" si="2"/>
        <v>5165.0246725971965</v>
      </c>
    </row>
    <row r="73" spans="1:11" ht="15.75" x14ac:dyDescent="0.3">
      <c r="A73" s="15" t="s">
        <v>56</v>
      </c>
      <c r="B73" s="48">
        <f t="shared" si="14"/>
        <v>790.65449999999998</v>
      </c>
      <c r="C73" s="51">
        <v>1125</v>
      </c>
      <c r="D73" s="48">
        <f t="shared" si="15"/>
        <v>0</v>
      </c>
      <c r="E73" s="51"/>
      <c r="F73" s="48">
        <f t="shared" si="16"/>
        <v>0</v>
      </c>
      <c r="G73" s="51"/>
      <c r="H73" s="48">
        <f t="shared" si="17"/>
        <v>0.34550000000009057</v>
      </c>
      <c r="I73" s="48">
        <f t="shared" si="18"/>
        <v>0.49160221057377385</v>
      </c>
      <c r="J73" s="20">
        <v>791</v>
      </c>
      <c r="K73" s="20">
        <f t="shared" si="2"/>
        <v>1125.4916022105738</v>
      </c>
    </row>
    <row r="74" spans="1:11" x14ac:dyDescent="0.25">
      <c r="A74" s="16" t="s">
        <v>12</v>
      </c>
      <c r="B74" s="26">
        <f>B76+B77+B78+B79+B80</f>
        <v>3072.6590879999999</v>
      </c>
      <c r="C74" s="26">
        <f t="shared" ref="C74:K74" si="21">C76+C77+C78+C79+C80</f>
        <v>4372</v>
      </c>
      <c r="D74" s="26">
        <f t="shared" si="21"/>
        <v>5872.6302240000005</v>
      </c>
      <c r="E74" s="26">
        <f t="shared" si="21"/>
        <v>8356</v>
      </c>
      <c r="F74" s="26">
        <f t="shared" si="21"/>
        <v>3072.6590879999999</v>
      </c>
      <c r="G74" s="26">
        <f t="shared" si="21"/>
        <v>4372</v>
      </c>
      <c r="H74" s="26">
        <f t="shared" si="21"/>
        <v>3096.0069887199998</v>
      </c>
      <c r="I74" s="26">
        <f t="shared" si="21"/>
        <v>4405.221069771942</v>
      </c>
      <c r="J74" s="26">
        <f t="shared" si="21"/>
        <v>15113.966212719999</v>
      </c>
      <c r="K74" s="26">
        <f t="shared" si="21"/>
        <v>21505.221069771942</v>
      </c>
    </row>
    <row r="75" spans="1:11" x14ac:dyDescent="0.25">
      <c r="A75" s="13" t="s">
        <v>10</v>
      </c>
      <c r="B75" s="49"/>
      <c r="C75" s="49"/>
      <c r="D75" s="49"/>
      <c r="E75" s="49"/>
      <c r="F75" s="49"/>
      <c r="G75" s="49"/>
      <c r="H75" s="49"/>
      <c r="I75" s="49"/>
      <c r="J75" s="20"/>
      <c r="K75" s="20">
        <f t="shared" si="2"/>
        <v>0</v>
      </c>
    </row>
    <row r="76" spans="1:11" x14ac:dyDescent="0.25">
      <c r="A76" s="9" t="s">
        <v>13</v>
      </c>
      <c r="B76" s="52">
        <f>C76*0.702804</f>
        <v>257.22626400000001</v>
      </c>
      <c r="C76" s="52">
        <v>366</v>
      </c>
      <c r="D76" s="52">
        <f>E76*0.702804</f>
        <v>257.22626400000001</v>
      </c>
      <c r="E76" s="52">
        <v>366</v>
      </c>
      <c r="F76" s="52">
        <f>G76*0.702804</f>
        <v>257.22626400000001</v>
      </c>
      <c r="G76" s="52">
        <v>366</v>
      </c>
      <c r="H76" s="52">
        <f>I76*0.702804</f>
        <v>278.310384</v>
      </c>
      <c r="I76" s="52">
        <f>K76-C76-E76-G76</f>
        <v>396</v>
      </c>
      <c r="J76" s="20">
        <v>1050</v>
      </c>
      <c r="K76" s="20">
        <v>1494</v>
      </c>
    </row>
    <row r="77" spans="1:11" x14ac:dyDescent="0.25">
      <c r="A77" s="9" t="s">
        <v>57</v>
      </c>
      <c r="B77" s="52">
        <f t="shared" ref="B77:B84" si="22">C77*0.702804</f>
        <v>1897.5708</v>
      </c>
      <c r="C77" s="52">
        <v>2700</v>
      </c>
      <c r="D77" s="52">
        <f t="shared" ref="D77:D84" si="23">E77*0.702804</f>
        <v>1897.5708</v>
      </c>
      <c r="E77" s="52">
        <v>2700</v>
      </c>
      <c r="F77" s="52">
        <f t="shared" ref="F77:F84" si="24">G77*0.702804</f>
        <v>1897.5708</v>
      </c>
      <c r="G77" s="52">
        <v>2700</v>
      </c>
      <c r="H77" s="52">
        <f t="shared" ref="H77:H84" si="25">I77*0.702804</f>
        <v>1897.5708</v>
      </c>
      <c r="I77" s="52">
        <f t="shared" ref="I77:I84" si="26">K77-C77-E77-G77</f>
        <v>2700</v>
      </c>
      <c r="J77" s="20">
        <f>10800*0.702804</f>
        <v>7590.2831999999999</v>
      </c>
      <c r="K77" s="20">
        <f t="shared" si="2"/>
        <v>10800</v>
      </c>
    </row>
    <row r="78" spans="1:11" x14ac:dyDescent="0.25">
      <c r="A78" s="9" t="s">
        <v>14</v>
      </c>
      <c r="B78" s="52">
        <f t="shared" si="22"/>
        <v>917.86202400000002</v>
      </c>
      <c r="C78" s="52">
        <v>1306</v>
      </c>
      <c r="D78" s="52">
        <f t="shared" si="23"/>
        <v>917.86202400000002</v>
      </c>
      <c r="E78" s="52">
        <v>1306</v>
      </c>
      <c r="F78" s="52">
        <f t="shared" si="24"/>
        <v>917.86202400000002</v>
      </c>
      <c r="G78" s="52">
        <v>1306</v>
      </c>
      <c r="H78" s="52">
        <f t="shared" si="25"/>
        <v>920.09694072000013</v>
      </c>
      <c r="I78" s="52">
        <f t="shared" si="26"/>
        <v>1309.1800000000003</v>
      </c>
      <c r="J78" s="20">
        <f>5227.18*0.702804</f>
        <v>3673.6830127200001</v>
      </c>
      <c r="K78" s="20">
        <f t="shared" si="2"/>
        <v>5227.18</v>
      </c>
    </row>
    <row r="79" spans="1:11" x14ac:dyDescent="0.25">
      <c r="A79" s="9" t="s">
        <v>59</v>
      </c>
      <c r="B79" s="52">
        <f t="shared" si="22"/>
        <v>0</v>
      </c>
      <c r="C79" s="52"/>
      <c r="D79" s="52">
        <f t="shared" si="23"/>
        <v>2799.9711360000001</v>
      </c>
      <c r="E79" s="52">
        <v>3984</v>
      </c>
      <c r="F79" s="52">
        <f t="shared" si="24"/>
        <v>0</v>
      </c>
      <c r="G79" s="52"/>
      <c r="H79" s="52">
        <f t="shared" si="25"/>
        <v>2.8864000000029227E-2</v>
      </c>
      <c r="I79" s="52">
        <f t="shared" si="26"/>
        <v>4.1069771942147781E-2</v>
      </c>
      <c r="J79" s="20">
        <v>2800</v>
      </c>
      <c r="K79" s="20">
        <f t="shared" si="2"/>
        <v>3984.0410697719421</v>
      </c>
    </row>
    <row r="80" spans="1:11" x14ac:dyDescent="0.25">
      <c r="A80" s="9" t="s">
        <v>66</v>
      </c>
      <c r="B80" s="52">
        <f t="shared" si="22"/>
        <v>0</v>
      </c>
      <c r="C80" s="52"/>
      <c r="D80" s="52">
        <f t="shared" si="23"/>
        <v>0</v>
      </c>
      <c r="E80" s="52"/>
      <c r="F80" s="52">
        <f t="shared" si="24"/>
        <v>0</v>
      </c>
      <c r="G80" s="52"/>
      <c r="H80" s="52">
        <f t="shared" si="25"/>
        <v>0</v>
      </c>
      <c r="I80" s="52">
        <f t="shared" si="26"/>
        <v>0</v>
      </c>
      <c r="J80" s="20"/>
      <c r="K80" s="20"/>
    </row>
    <row r="81" spans="1:11" x14ac:dyDescent="0.25">
      <c r="A81" s="6" t="s">
        <v>19</v>
      </c>
      <c r="B81" s="52">
        <f t="shared" si="22"/>
        <v>969.86951999999997</v>
      </c>
      <c r="C81" s="26">
        <f>5520/4</f>
        <v>1380</v>
      </c>
      <c r="D81" s="52">
        <f t="shared" si="23"/>
        <v>969.86951999999997</v>
      </c>
      <c r="E81" s="26">
        <v>1380</v>
      </c>
      <c r="F81" s="52">
        <f t="shared" si="24"/>
        <v>969.86951999999997</v>
      </c>
      <c r="G81" s="26">
        <v>1380</v>
      </c>
      <c r="H81" s="52">
        <f t="shared" si="25"/>
        <v>969.86951999999997</v>
      </c>
      <c r="I81" s="52">
        <f t="shared" si="26"/>
        <v>1380</v>
      </c>
      <c r="J81" s="26">
        <f>5520*0.702804</f>
        <v>3879.4780799999999</v>
      </c>
      <c r="K81" s="26">
        <f t="shared" si="2"/>
        <v>5520</v>
      </c>
    </row>
    <row r="82" spans="1:11" x14ac:dyDescent="0.25">
      <c r="A82" s="6" t="s">
        <v>58</v>
      </c>
      <c r="B82" s="52">
        <f t="shared" si="22"/>
        <v>0</v>
      </c>
      <c r="C82" s="44">
        <v>0</v>
      </c>
      <c r="D82" s="52">
        <f t="shared" si="23"/>
        <v>0</v>
      </c>
      <c r="E82" s="44"/>
      <c r="F82" s="52">
        <f t="shared" si="24"/>
        <v>0</v>
      </c>
      <c r="G82" s="44"/>
      <c r="H82" s="52">
        <f t="shared" si="25"/>
        <v>0</v>
      </c>
      <c r="I82" s="52">
        <f t="shared" si="26"/>
        <v>0</v>
      </c>
      <c r="J82" s="20"/>
      <c r="K82" s="20">
        <f t="shared" si="2"/>
        <v>0</v>
      </c>
    </row>
    <row r="83" spans="1:11" x14ac:dyDescent="0.25">
      <c r="A83" s="6" t="s">
        <v>65</v>
      </c>
      <c r="B83" s="52">
        <f t="shared" si="22"/>
        <v>0</v>
      </c>
      <c r="C83" s="44">
        <v>0</v>
      </c>
      <c r="D83" s="52">
        <f t="shared" si="23"/>
        <v>0</v>
      </c>
      <c r="E83" s="44"/>
      <c r="F83" s="52">
        <f t="shared" si="24"/>
        <v>0</v>
      </c>
      <c r="G83" s="44"/>
      <c r="H83" s="52">
        <f t="shared" si="25"/>
        <v>0</v>
      </c>
      <c r="I83" s="52">
        <f t="shared" si="26"/>
        <v>0</v>
      </c>
      <c r="J83" s="20"/>
      <c r="K83" s="20"/>
    </row>
    <row r="84" spans="1:11" x14ac:dyDescent="0.25">
      <c r="A84" s="6" t="s">
        <v>48</v>
      </c>
      <c r="B84" s="52">
        <f t="shared" si="22"/>
        <v>0</v>
      </c>
      <c r="C84" s="44"/>
      <c r="D84" s="52">
        <f t="shared" si="23"/>
        <v>347.88797999999997</v>
      </c>
      <c r="E84" s="44">
        <v>495</v>
      </c>
      <c r="F84" s="52">
        <f t="shared" si="24"/>
        <v>0</v>
      </c>
      <c r="G84" s="44"/>
      <c r="H84" s="52">
        <f t="shared" si="25"/>
        <v>0.11201999999999655</v>
      </c>
      <c r="I84" s="52">
        <f t="shared" si="26"/>
        <v>0.15939010022708544</v>
      </c>
      <c r="J84" s="20">
        <v>348</v>
      </c>
      <c r="K84" s="20">
        <f t="shared" si="2"/>
        <v>495.15939010022709</v>
      </c>
    </row>
    <row r="85" spans="1:11" ht="15.75" thickBot="1" x14ac:dyDescent="0.3">
      <c r="A85" s="17" t="s">
        <v>20</v>
      </c>
      <c r="B85" s="26">
        <f t="shared" ref="B85:K85" si="27">B13+B14-B30</f>
        <v>6307.7304268762819</v>
      </c>
      <c r="C85" s="26">
        <f t="shared" si="27"/>
        <v>8975.3554545453517</v>
      </c>
      <c r="D85" s="26">
        <f t="shared" si="27"/>
        <v>6430.0183228762471</v>
      </c>
      <c r="E85" s="26">
        <f t="shared" si="27"/>
        <v>9149.3554545453517</v>
      </c>
      <c r="F85" s="26">
        <f t="shared" si="27"/>
        <v>17088.970190876251</v>
      </c>
      <c r="G85" s="26">
        <f t="shared" si="27"/>
        <v>24315.868786854204</v>
      </c>
      <c r="H85" s="26">
        <f t="shared" si="27"/>
        <v>17610.658894150605</v>
      </c>
      <c r="I85" s="26">
        <f t="shared" si="27"/>
        <v>25058.164936668822</v>
      </c>
      <c r="J85" s="26">
        <f t="shared" si="27"/>
        <v>17610.694634150714</v>
      </c>
      <c r="K85" s="26">
        <f t="shared" si="27"/>
        <v>25057.901295596734</v>
      </c>
    </row>
    <row r="86" spans="1:11" x14ac:dyDescent="0.25">
      <c r="A86" s="32"/>
      <c r="B86" s="32"/>
      <c r="C86" s="32"/>
      <c r="D86" s="32"/>
      <c r="E86" s="1"/>
      <c r="F86" s="1"/>
      <c r="G86" s="1"/>
      <c r="H86" s="32"/>
      <c r="I86" s="1"/>
      <c r="J86" s="24"/>
    </row>
    <row r="87" spans="1:11" x14ac:dyDescent="0.25">
      <c r="A87" s="3" t="s">
        <v>21</v>
      </c>
      <c r="B87" s="3"/>
      <c r="C87" s="3"/>
      <c r="D87" s="3"/>
      <c r="E87" s="3"/>
      <c r="F87" s="3"/>
      <c r="G87" s="3"/>
      <c r="H87" s="3"/>
      <c r="I87" s="3"/>
      <c r="J87" s="2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11" x14ac:dyDescent="0.25">
      <c r="A89" s="3" t="s">
        <v>22</v>
      </c>
      <c r="B89" s="3"/>
      <c r="C89" s="3"/>
      <c r="D89" s="3"/>
      <c r="E89" s="3"/>
      <c r="F89" s="3"/>
      <c r="G89" s="3"/>
      <c r="H89" s="3"/>
      <c r="I89" s="3"/>
    </row>
    <row r="90" spans="1:11" x14ac:dyDescent="0.25">
      <c r="A90" s="2" t="s">
        <v>23</v>
      </c>
      <c r="B90" s="2"/>
      <c r="C90" s="2"/>
      <c r="D90" s="2"/>
      <c r="E90" s="2"/>
      <c r="F90" s="2"/>
      <c r="G90" s="2"/>
      <c r="H90" s="2"/>
      <c r="I90" s="2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</row>
  </sheetData>
  <mergeCells count="8">
    <mergeCell ref="J12:K12"/>
    <mergeCell ref="B12:C12"/>
    <mergeCell ref="D12:E12"/>
    <mergeCell ref="E2:K2"/>
    <mergeCell ref="E3:K3"/>
    <mergeCell ref="E4:K4"/>
    <mergeCell ref="F12:G12"/>
    <mergeCell ref="H12:I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Jefrosinija.Tukane</dc:creator>
  <cp:lastModifiedBy>Jefrosinija.Tukane</cp:lastModifiedBy>
  <cp:lastPrinted>2014-06-19T12:33:22Z</cp:lastPrinted>
  <dcterms:created xsi:type="dcterms:W3CDTF">2014-01-19T15:24:38Z</dcterms:created>
  <dcterms:modified xsi:type="dcterms:W3CDTF">2014-06-20T06:58:42Z</dcterms:modified>
</cp:coreProperties>
</file>